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оркко О\от Окунева\ОТЧЕТ за 2-й квартал 2019 года\++МП 84 ЦКС\"/>
    </mc:Choice>
  </mc:AlternateContent>
  <bookViews>
    <workbookView xWindow="0" yWindow="0" windowWidth="20436" windowHeight="8340"/>
  </bookViews>
  <sheets>
    <sheet name="Лист1" sheetId="17" r:id="rId1"/>
    <sheet name="Лист2" sheetId="18" r:id="rId2"/>
  </sheets>
  <definedNames>
    <definedName name="_xlnm._FilterDatabase" localSheetId="0" hidden="1">Лист1!$A$15:$P$497</definedName>
  </definedNames>
  <calcPr calcId="152511"/>
</workbook>
</file>

<file path=xl/calcChain.xml><?xml version="1.0" encoding="utf-8"?>
<calcChain xmlns="http://schemas.openxmlformats.org/spreadsheetml/2006/main">
  <c r="N325" i="17" l="1"/>
  <c r="O321" i="17"/>
  <c r="L324" i="17"/>
  <c r="L323" i="17"/>
  <c r="M234" i="17"/>
  <c r="O219" i="17"/>
  <c r="M219" i="17"/>
  <c r="M289" i="17"/>
  <c r="O280" i="17"/>
  <c r="M283" i="17"/>
  <c r="O268" i="17"/>
  <c r="M268" i="17"/>
  <c r="O291" i="17"/>
  <c r="L325" i="17" l="1"/>
  <c r="M277" i="17"/>
  <c r="O303" i="17"/>
  <c r="O302" i="17"/>
  <c r="O299" i="17"/>
  <c r="O298" i="17"/>
  <c r="O296" i="17"/>
  <c r="M293" i="17"/>
  <c r="M291" i="17"/>
  <c r="O275" i="17"/>
  <c r="M275" i="17"/>
  <c r="M284" i="17"/>
  <c r="O271" i="17"/>
  <c r="O277" i="17"/>
  <c r="O276" i="17"/>
  <c r="M276" i="17" s="1"/>
  <c r="O267" i="17"/>
  <c r="O266" i="17"/>
  <c r="O264" i="17"/>
  <c r="O52" i="17"/>
  <c r="M274" i="17"/>
  <c r="O274" i="17" s="1"/>
  <c r="M355" i="17"/>
  <c r="M448" i="17"/>
  <c r="M400" i="17"/>
  <c r="M436" i="17"/>
  <c r="M329" i="17"/>
  <c r="M354" i="17"/>
  <c r="O354" i="17" s="1"/>
  <c r="M370" i="17"/>
  <c r="M42" i="17"/>
  <c r="O82" i="17"/>
  <c r="M402" i="17"/>
  <c r="O283" i="17"/>
  <c r="M220" i="17"/>
  <c r="M207" i="17"/>
  <c r="O234" i="17"/>
  <c r="O233" i="17"/>
  <c r="M235" i="17"/>
  <c r="O235" i="17" s="1"/>
  <c r="M231" i="17" l="1"/>
  <c r="O231" i="17" s="1"/>
  <c r="K230" i="17"/>
  <c r="M60" i="17" l="1"/>
  <c r="O225" i="17"/>
  <c r="O228" i="17"/>
  <c r="M226" i="17"/>
  <c r="O226" i="17" s="1"/>
  <c r="O227" i="17"/>
  <c r="M224" i="17"/>
  <c r="O224" i="17" s="1"/>
  <c r="O223" i="17"/>
  <c r="M222" i="17"/>
  <c r="O222" i="17" s="1"/>
  <c r="O221" i="17"/>
  <c r="O220" i="17"/>
  <c r="K218" i="17"/>
  <c r="O490" i="17"/>
  <c r="O479" i="17"/>
  <c r="O478" i="17"/>
  <c r="M478" i="17"/>
  <c r="M87" i="17"/>
  <c r="M84" i="17"/>
  <c r="O448" i="17"/>
  <c r="O436" i="17"/>
  <c r="O400" i="17"/>
  <c r="O335" i="17"/>
  <c r="M171" i="17"/>
  <c r="O171" i="17" s="1"/>
  <c r="M81" i="17"/>
  <c r="M78" i="17"/>
  <c r="O78" i="17" s="1"/>
  <c r="O91" i="17"/>
  <c r="O89" i="17"/>
  <c r="O81" i="17"/>
  <c r="O76" i="17"/>
  <c r="O132" i="17"/>
  <c r="O115" i="17"/>
  <c r="O116" i="17"/>
  <c r="K117" i="17"/>
  <c r="K114" i="17"/>
  <c r="M95" i="17"/>
  <c r="O95" i="17" s="1"/>
  <c r="O18" i="17"/>
  <c r="K113" i="17" l="1"/>
  <c r="O75" i="17"/>
  <c r="O64" i="17"/>
  <c r="O30" i="17"/>
  <c r="O60" i="17"/>
  <c r="M36" i="17"/>
  <c r="O36" i="17" s="1"/>
  <c r="M22" i="17" l="1"/>
  <c r="O329" i="17"/>
  <c r="M338" i="17"/>
  <c r="O338" i="17" l="1"/>
  <c r="O355" i="17"/>
  <c r="O22" i="17"/>
  <c r="O42" i="17"/>
  <c r="K489" i="17" l="1"/>
  <c r="K487" i="17"/>
  <c r="K486" i="17"/>
  <c r="K482" i="17"/>
  <c r="J325" i="17"/>
  <c r="J497" i="17" s="1"/>
  <c r="M303" i="17"/>
  <c r="M302" i="17"/>
  <c r="M285" i="17"/>
  <c r="M271" i="17"/>
  <c r="M471" i="17"/>
  <c r="O471" i="17" s="1"/>
  <c r="M465" i="17"/>
  <c r="O465" i="17" s="1"/>
  <c r="M461" i="17"/>
  <c r="O461" i="17" s="1"/>
  <c r="M450" i="17"/>
  <c r="O450" i="17" s="1"/>
  <c r="M438" i="17"/>
  <c r="O438" i="17" s="1"/>
  <c r="M430" i="17"/>
  <c r="O430" i="17" s="1"/>
  <c r="M423" i="17"/>
  <c r="O423" i="17" s="1"/>
  <c r="M417" i="17"/>
  <c r="O417" i="17" s="1"/>
  <c r="M408" i="17"/>
  <c r="O408" i="17" s="1"/>
  <c r="O402" i="17"/>
  <c r="M395" i="17"/>
  <c r="O395" i="17" s="1"/>
  <c r="M391" i="17"/>
  <c r="O391" i="17" s="1"/>
  <c r="M385" i="17"/>
  <c r="O385" i="17" s="1"/>
  <c r="M373" i="17"/>
  <c r="M371" i="17"/>
  <c r="M365" i="17"/>
  <c r="M358" i="17"/>
  <c r="M357" i="17"/>
  <c r="O357" i="17" s="1"/>
  <c r="K484" i="17" l="1"/>
  <c r="K493" i="17" s="1"/>
  <c r="K344" i="17"/>
  <c r="K343" i="17" s="1"/>
  <c r="K340" i="17"/>
  <c r="K339" i="17"/>
  <c r="K337" i="17"/>
  <c r="K334" i="17"/>
  <c r="K330" i="17"/>
  <c r="K328" i="17"/>
  <c r="O472" i="17"/>
  <c r="O462" i="17"/>
  <c r="O444" i="17"/>
  <c r="O432" i="17"/>
  <c r="O418" i="17"/>
  <c r="O396" i="17"/>
  <c r="O390" i="17"/>
  <c r="O387" i="17"/>
  <c r="O382" i="17"/>
  <c r="O370" i="17"/>
  <c r="O364" i="17"/>
  <c r="O350" i="17"/>
  <c r="O347" i="17"/>
  <c r="K336" i="17" l="1"/>
  <c r="K327" i="17"/>
  <c r="O207" i="17"/>
  <c r="O213" i="17" s="1"/>
  <c r="M452" i="17"/>
  <c r="M426" i="17"/>
  <c r="M403" i="17"/>
  <c r="M190" i="17"/>
  <c r="M106" i="17"/>
  <c r="M320" i="17" l="1"/>
  <c r="M319" i="17"/>
  <c r="M52" i="17"/>
  <c r="M43" i="17"/>
  <c r="O216" i="17"/>
  <c r="M55" i="17"/>
  <c r="M39" i="17"/>
  <c r="M279" i="17"/>
  <c r="M280" i="17"/>
  <c r="M281" i="17"/>
  <c r="M264" i="17"/>
  <c r="O258" i="17"/>
  <c r="O257" i="17"/>
  <c r="O256" i="17"/>
  <c r="O255" i="17"/>
  <c r="O254" i="17"/>
  <c r="O253" i="17"/>
  <c r="K472" i="17"/>
  <c r="K471" i="17"/>
  <c r="K468" i="17"/>
  <c r="K467" i="17"/>
  <c r="K466" i="17"/>
  <c r="K465" i="17"/>
  <c r="K462" i="17"/>
  <c r="K461" i="17"/>
  <c r="K458" i="17"/>
  <c r="K456" i="17"/>
  <c r="K451" i="17"/>
  <c r="K450" i="17"/>
  <c r="K449" i="17"/>
  <c r="K447" i="17"/>
  <c r="K444" i="17"/>
  <c r="K443" i="17" s="1"/>
  <c r="K440" i="17"/>
  <c r="K438" i="17"/>
  <c r="K437" i="17"/>
  <c r="K435" i="17"/>
  <c r="K432" i="17"/>
  <c r="K431" i="17"/>
  <c r="K430" i="17"/>
  <c r="K426" i="17"/>
  <c r="K424" i="17" s="1"/>
  <c r="K423" i="17"/>
  <c r="K422" i="17"/>
  <c r="K421" i="17"/>
  <c r="K418" i="17"/>
  <c r="K417" i="17"/>
  <c r="K414" i="17"/>
  <c r="K410" i="17"/>
  <c r="K409" i="17"/>
  <c r="K408" i="17"/>
  <c r="K404" i="17"/>
  <c r="K402" i="17"/>
  <c r="K401" i="17"/>
  <c r="K399" i="17"/>
  <c r="K395" i="17"/>
  <c r="K394" i="17" s="1"/>
  <c r="K392" i="17"/>
  <c r="K391" i="17"/>
  <c r="K390" i="17"/>
  <c r="K387" i="17"/>
  <c r="K386" i="17"/>
  <c r="K385" i="17"/>
  <c r="K382" i="17"/>
  <c r="K381" i="17" s="1"/>
  <c r="K378" i="17"/>
  <c r="K375" i="17"/>
  <c r="K373" i="17"/>
  <c r="K372" i="17"/>
  <c r="K371" i="17"/>
  <c r="K370" i="17"/>
  <c r="K367" i="17"/>
  <c r="K365" i="17"/>
  <c r="K364" i="17"/>
  <c r="K361" i="17"/>
  <c r="K358" i="17"/>
  <c r="K357" i="17"/>
  <c r="K356" i="17"/>
  <c r="K354" i="17"/>
  <c r="K351" i="17"/>
  <c r="K350" i="17"/>
  <c r="K348" i="17"/>
  <c r="K347" i="17"/>
  <c r="K292" i="17"/>
  <c r="K291" i="17"/>
  <c r="K283" i="17"/>
  <c r="K270" i="17"/>
  <c r="K261" i="17"/>
  <c r="K260" i="17"/>
  <c r="K245" i="17"/>
  <c r="K236" i="17"/>
  <c r="K216" i="17"/>
  <c r="K215" i="17" s="1"/>
  <c r="K211" i="17"/>
  <c r="K210" i="17" s="1"/>
  <c r="K209" i="17"/>
  <c r="K208" i="17" s="1"/>
  <c r="K206" i="17"/>
  <c r="K205" i="17" s="1"/>
  <c r="K203" i="17"/>
  <c r="K202" i="17"/>
  <c r="K201" i="17"/>
  <c r="K195" i="17"/>
  <c r="K193" i="17"/>
  <c r="K191" i="17" s="1"/>
  <c r="K190" i="17"/>
  <c r="K189" i="17"/>
  <c r="K188" i="17"/>
  <c r="K187" i="17"/>
  <c r="K186" i="17"/>
  <c r="K183" i="17"/>
  <c r="K182" i="17" s="1"/>
  <c r="K181" i="17"/>
  <c r="K180" i="17"/>
  <c r="K179" i="17"/>
  <c r="K176" i="17"/>
  <c r="K175" i="17"/>
  <c r="K173" i="17"/>
  <c r="K172" i="17" s="1"/>
  <c r="K171" i="17"/>
  <c r="K170" i="17" s="1"/>
  <c r="K169" i="17"/>
  <c r="K168" i="17" s="1"/>
  <c r="K167" i="17"/>
  <c r="K166" i="17" s="1"/>
  <c r="K165" i="17"/>
  <c r="K164" i="17"/>
  <c r="K161" i="17"/>
  <c r="K160" i="17"/>
  <c r="K157" i="17"/>
  <c r="K155" i="17"/>
  <c r="K154" i="17" s="1"/>
  <c r="K153" i="17"/>
  <c r="K152" i="17" s="1"/>
  <c r="K151" i="17"/>
  <c r="K150" i="17"/>
  <c r="K148" i="17"/>
  <c r="K147" i="17" s="1"/>
  <c r="K146" i="17"/>
  <c r="K145" i="17"/>
  <c r="K144" i="17"/>
  <c r="K142" i="17"/>
  <c r="K141" i="17" s="1"/>
  <c r="K140" i="17"/>
  <c r="K139" i="17" s="1"/>
  <c r="K137" i="17"/>
  <c r="K136" i="17"/>
  <c r="K135" i="17" s="1"/>
  <c r="K134" i="17"/>
  <c r="K133" i="17" s="1"/>
  <c r="K132" i="17"/>
  <c r="K131" i="17"/>
  <c r="K129" i="17"/>
  <c r="K128" i="17" s="1"/>
  <c r="K127" i="17"/>
  <c r="K126" i="17"/>
  <c r="K125" i="17"/>
  <c r="K124" i="17"/>
  <c r="K122" i="17"/>
  <c r="K121" i="17"/>
  <c r="K120" i="17"/>
  <c r="K112" i="17"/>
  <c r="K111" i="17" s="1"/>
  <c r="K110" i="17"/>
  <c r="K109" i="17" s="1"/>
  <c r="K108" i="17"/>
  <c r="K107" i="17" s="1"/>
  <c r="K106" i="17"/>
  <c r="K105" i="17" s="1"/>
  <c r="K104" i="17"/>
  <c r="K103" i="17"/>
  <c r="K101" i="17"/>
  <c r="K100" i="17" s="1"/>
  <c r="K99" i="17"/>
  <c r="K98" i="17" s="1"/>
  <c r="K97" i="17"/>
  <c r="K96" i="17" s="1"/>
  <c r="K95" i="17"/>
  <c r="K94" i="17"/>
  <c r="K92" i="17"/>
  <c r="K91" i="17"/>
  <c r="K89" i="17"/>
  <c r="K88" i="17" s="1"/>
  <c r="K87" i="17"/>
  <c r="K86" i="17"/>
  <c r="K84" i="17"/>
  <c r="K83" i="17"/>
  <c r="K81" i="17"/>
  <c r="K80" i="17"/>
  <c r="K78" i="17"/>
  <c r="K77" i="17" s="1"/>
  <c r="K76" i="17"/>
  <c r="K75" i="17"/>
  <c r="K74" i="17"/>
  <c r="K71" i="17"/>
  <c r="K65" i="17"/>
  <c r="K64" i="17"/>
  <c r="K63" i="17" s="1"/>
  <c r="K61" i="17"/>
  <c r="K59" i="17"/>
  <c r="K56" i="17" s="1"/>
  <c r="K50" i="17"/>
  <c r="K49" i="17"/>
  <c r="K48" i="17" s="1"/>
  <c r="K47" i="17"/>
  <c r="K46" i="17" s="1"/>
  <c r="K44" i="17"/>
  <c r="K42" i="17"/>
  <c r="K37" i="17" s="1"/>
  <c r="K35" i="17"/>
  <c r="K34" i="17"/>
  <c r="K33" i="17" s="1"/>
  <c r="K29" i="17"/>
  <c r="K28" i="17"/>
  <c r="K27" i="17" s="1"/>
  <c r="K25" i="17"/>
  <c r="K22" i="17"/>
  <c r="K21" i="17"/>
  <c r="K19" i="17"/>
  <c r="K18" i="17"/>
  <c r="O317" i="17" l="1"/>
  <c r="K317" i="17"/>
  <c r="M321" i="17"/>
  <c r="K346" i="17"/>
  <c r="K363" i="17"/>
  <c r="K389" i="17"/>
  <c r="K420" i="17"/>
  <c r="K446" i="17"/>
  <c r="K460" i="17"/>
  <c r="K130" i="17"/>
  <c r="K174" i="17"/>
  <c r="K470" i="17"/>
  <c r="M216" i="17"/>
  <c r="M251" i="17" s="1"/>
  <c r="O251" i="17"/>
  <c r="K79" i="17"/>
  <c r="K85" i="17"/>
  <c r="K93" i="17"/>
  <c r="O480" i="17"/>
  <c r="M317" i="17"/>
  <c r="M213" i="17"/>
  <c r="K251" i="17"/>
  <c r="K429" i="17"/>
  <c r="K349" i="17"/>
  <c r="K353" i="17"/>
  <c r="K369" i="17"/>
  <c r="K434" i="17"/>
  <c r="K398" i="17"/>
  <c r="K194" i="17"/>
  <c r="K384" i="17"/>
  <c r="K407" i="17"/>
  <c r="K185" i="17"/>
  <c r="K416" i="17"/>
  <c r="K464" i="17"/>
  <c r="K67" i="17"/>
  <c r="K17" i="17"/>
  <c r="K143" i="17"/>
  <c r="K156" i="17"/>
  <c r="K178" i="17"/>
  <c r="K90" i="17"/>
  <c r="K149" i="17"/>
  <c r="K123" i="17"/>
  <c r="K73" i="17"/>
  <c r="K102" i="17"/>
  <c r="K118" i="17"/>
  <c r="O497" i="17" l="1"/>
  <c r="K480" i="17"/>
  <c r="K213" i="17"/>
  <c r="K497" i="17" l="1"/>
</calcChain>
</file>

<file path=xl/sharedStrings.xml><?xml version="1.0" encoding="utf-8"?>
<sst xmlns="http://schemas.openxmlformats.org/spreadsheetml/2006/main" count="1719" uniqueCount="723">
  <si>
    <t>Праздник, посвященный  Международному Дню защиты детей</t>
  </si>
  <si>
    <t>4</t>
  </si>
  <si>
    <t>5</t>
  </si>
  <si>
    <t>6</t>
  </si>
  <si>
    <t>3.1.</t>
  </si>
  <si>
    <t>4.1.</t>
  </si>
  <si>
    <t>5.1.</t>
  </si>
  <si>
    <t>8.1.</t>
  </si>
  <si>
    <t>ИТОГО</t>
  </si>
  <si>
    <t>Создание условий для организации досуга  и обеспечения услугами учреждений культуры жителей МО Колтушское СП</t>
  </si>
  <si>
    <t>1.1.</t>
  </si>
  <si>
    <t>1.2</t>
  </si>
  <si>
    <t xml:space="preserve">Приобретение ТМЦ (продукты) </t>
  </si>
  <si>
    <t>1.3</t>
  </si>
  <si>
    <t>Транспортные услуги</t>
  </si>
  <si>
    <t>1.4</t>
  </si>
  <si>
    <t>Приобретение ТМЦ (продукты)</t>
  </si>
  <si>
    <t>2</t>
  </si>
  <si>
    <t>2.1.</t>
  </si>
  <si>
    <t>3</t>
  </si>
  <si>
    <t>Услуги по экскурсионному обслуживанию</t>
  </si>
  <si>
    <t>Оплата взносов за участие</t>
  </si>
  <si>
    <t xml:space="preserve"> Услуги звукорежиссера</t>
  </si>
  <si>
    <t>Услуги по украшению зала</t>
  </si>
  <si>
    <t>6.1.</t>
  </si>
  <si>
    <t>Услуги по техническому обеспечению мероприятий</t>
  </si>
  <si>
    <t>8</t>
  </si>
  <si>
    <t>Приобретение ТМЦ (призы)</t>
  </si>
  <si>
    <t>9</t>
  </si>
  <si>
    <t>9.1.</t>
  </si>
  <si>
    <t>10</t>
  </si>
  <si>
    <t>10.1.</t>
  </si>
  <si>
    <t>11</t>
  </si>
  <si>
    <t>12</t>
  </si>
  <si>
    <t>12.1.</t>
  </si>
  <si>
    <t>13</t>
  </si>
  <si>
    <t>14</t>
  </si>
  <si>
    <t>14.1.</t>
  </si>
  <si>
    <t>15</t>
  </si>
  <si>
    <t>16</t>
  </si>
  <si>
    <t>Услуги медицинского сопровождения</t>
  </si>
  <si>
    <t>Услуги по организации питания</t>
  </si>
  <si>
    <t xml:space="preserve">Приобретение ТМЦ (шары) </t>
  </si>
  <si>
    <t>21</t>
  </si>
  <si>
    <t>Приобретение ТМЦ (подарки)</t>
  </si>
  <si>
    <t>22</t>
  </si>
  <si>
    <t>25</t>
  </si>
  <si>
    <t>26</t>
  </si>
  <si>
    <t>27</t>
  </si>
  <si>
    <t>28</t>
  </si>
  <si>
    <t>28.1</t>
  </si>
  <si>
    <t>28.2</t>
  </si>
  <si>
    <t>29</t>
  </si>
  <si>
    <t>29.1</t>
  </si>
  <si>
    <t>Выпускной бал для школьников</t>
  </si>
  <si>
    <t>33.1</t>
  </si>
  <si>
    <t>35</t>
  </si>
  <si>
    <t>36</t>
  </si>
  <si>
    <t>37</t>
  </si>
  <si>
    <t>38</t>
  </si>
  <si>
    <t>40</t>
  </si>
  <si>
    <t>41</t>
  </si>
  <si>
    <t>42</t>
  </si>
  <si>
    <t>19</t>
  </si>
  <si>
    <t>19.1.</t>
  </si>
  <si>
    <t xml:space="preserve">Приобретение ТМЦ(продукты) </t>
  </si>
  <si>
    <t xml:space="preserve">Приобретение ТМЦ (призы) </t>
  </si>
  <si>
    <t>Заработная плата работников учреждения культуры</t>
  </si>
  <si>
    <t>Заработная плата работников учреждения культуры по платным услугам</t>
  </si>
  <si>
    <t>Начисления на заработную плату</t>
  </si>
  <si>
    <t>Начисления на заработную плату по платным услугам</t>
  </si>
  <si>
    <t>Расходы на услуги связи</t>
  </si>
  <si>
    <t xml:space="preserve">Аттестация рабочих мест </t>
  </si>
  <si>
    <t>Медосмотр сотрудников</t>
  </si>
  <si>
    <t>Семинары по повышению квалификации</t>
  </si>
  <si>
    <t>ФГУП "ЦентрИнформ" электронная отчетность открытие доступа</t>
  </si>
  <si>
    <t>ФГУП" Почта России" подписка и доставка период.изданий</t>
  </si>
  <si>
    <t>Оплата труда внештатных руководителей кружков и студий с начисления</t>
  </si>
  <si>
    <t>Приобретение ТМЦ для организации платных услуг</t>
  </si>
  <si>
    <t>Лыжные гонки классическим стилем, I этап</t>
  </si>
  <si>
    <t>Турнир по минифутболу на первенство МО г. Кировска</t>
  </si>
  <si>
    <t>Лыжные гонки классическим стилем, I I этап</t>
  </si>
  <si>
    <t>Турнир по русским шашкам в честь  дня Рсоссийской Армии</t>
  </si>
  <si>
    <t>3.1</t>
  </si>
  <si>
    <t>Турнир по шахматам, в честь дня Российской Армии</t>
  </si>
  <si>
    <t>4.1</t>
  </si>
  <si>
    <t>Лыжные гонки свободным  стилем, III этап</t>
  </si>
  <si>
    <t>Турнир по настольному теннису, посвященный Дню защитника отечества, I этап, в том числе:</t>
  </si>
  <si>
    <t xml:space="preserve">Международный турнир по волейболу </t>
  </si>
  <si>
    <t>Турнир по настольному теннису, посвященный Дню метеоролога,  I I этап, в том числе:</t>
  </si>
  <si>
    <t>34</t>
  </si>
  <si>
    <t>Всероссийский турнир по волейболу памяти В.В.Файфера г. Рыбинск</t>
  </si>
  <si>
    <t>Турнир по настольному теннису, посвященный Всемирному  Дню тенниса, III этап, в том числе:</t>
  </si>
  <si>
    <t>Турнир по футболу кубок района</t>
  </si>
  <si>
    <t>Услуги аренды поля</t>
  </si>
  <si>
    <t>Турнир по русским шашкам в честь  Дня Победы</t>
  </si>
  <si>
    <t>Футбольный турнир, посвященный 9 мая</t>
  </si>
  <si>
    <t>10.1</t>
  </si>
  <si>
    <t>Легкоатлетический кросс на МО Колтушское поселение 1 этап</t>
  </si>
  <si>
    <t>Поездка в спортивный лагерь волейбольной команды</t>
  </si>
  <si>
    <t>Медицинское обслуживание мероприятия</t>
  </si>
  <si>
    <t>Чемпионат МО Колтушское СП по настольному теннису</t>
  </si>
  <si>
    <t>Легкоатлетический кросс на МО Колтушское поселение 2 этап</t>
  </si>
  <si>
    <t>Соревнования по скандинавской ходьбе "На тропу здоровья"</t>
  </si>
  <si>
    <t>Легкоатлетический кросс на МО Колтушское поселение 3 этап</t>
  </si>
  <si>
    <t>Открытое первенство города по волейболу</t>
  </si>
  <si>
    <t>Турнир по волейболу г. Кандопога респ. Карелия</t>
  </si>
  <si>
    <t>Турнир по шашкам в честь Дня Независимости</t>
  </si>
  <si>
    <t>Соревнования по спортивной гимнастике</t>
  </si>
  <si>
    <t>Новогодний турнир по шашкам</t>
  </si>
  <si>
    <t>Стартовые взносы на чемпионат СП по волейболу</t>
  </si>
  <si>
    <t>Всероссийский турнир по волейболу г. Тутаев</t>
  </si>
  <si>
    <t>ВСЕГО:</t>
  </si>
  <si>
    <t>Участие в Международном фестивале -конкурсе коллектива ансамбля "Радуга"</t>
  </si>
  <si>
    <t>Массовое праздничное мероприятие "Народное гуляние Масленица"</t>
  </si>
  <si>
    <t>Организация и проведение культурно-массового мероприятия, в т.ч.:</t>
  </si>
  <si>
    <t>Мероприятие,  посвященное Дню работника культуры</t>
  </si>
  <si>
    <t>Мероприятие, посвященное Дню пожарной охраны</t>
  </si>
  <si>
    <t>13.1.</t>
  </si>
  <si>
    <t>13.2.</t>
  </si>
  <si>
    <t xml:space="preserve">Участие ансамбля "Радуга" во Всероссийском фестивале-конкурсе </t>
  </si>
  <si>
    <t>Организация участия на 70 человек</t>
  </si>
  <si>
    <t>Мероприятие, посвященное Дню местного самоуправления</t>
  </si>
  <si>
    <t>Экскурсия краеведческая по изучению музеев и памятников ЛО и СПб</t>
  </si>
  <si>
    <t>17</t>
  </si>
  <si>
    <t>19.2.</t>
  </si>
  <si>
    <t>19.3.</t>
  </si>
  <si>
    <t>19.4.</t>
  </si>
  <si>
    <t>19.5.</t>
  </si>
  <si>
    <t>23</t>
  </si>
  <si>
    <t>Мероприятие, посвященное Всероссийскому дню библиотек</t>
  </si>
  <si>
    <t>Организация и проведение мероприятия</t>
  </si>
  <si>
    <t>Выпускной бал участников ансамбля "Радуга"</t>
  </si>
  <si>
    <t>Праздничный концерт, посвященный Дню России</t>
  </si>
  <si>
    <t>31</t>
  </si>
  <si>
    <t>Митинг, посвященный  Дню памяти и скорби</t>
  </si>
  <si>
    <t>31.1</t>
  </si>
  <si>
    <t>Мероприятие, посвященное Дню Военно-морского флота</t>
  </si>
  <si>
    <t>Праздник, посвященный Всероссийскому дню Семьи, любви и верности</t>
  </si>
  <si>
    <t>Экскурсия краеведческая многодневная</t>
  </si>
  <si>
    <t>39</t>
  </si>
  <si>
    <t xml:space="preserve">Участие в конкурсе "Ветеранское подворье" </t>
  </si>
  <si>
    <t>Мероприятие, посвященное Дню пожилого человека</t>
  </si>
  <si>
    <t>45.2</t>
  </si>
  <si>
    <t>51</t>
  </si>
  <si>
    <t>Праздник, посвященния в участники ансамбля "Радуга</t>
  </si>
  <si>
    <t xml:space="preserve">Встреча, посвященная Дню инвалида "Мы вместе" </t>
  </si>
  <si>
    <t>56.1</t>
  </si>
  <si>
    <t>Праздничный концерт, посвященный Дню матери</t>
  </si>
  <si>
    <t>Культурно-массовое мероприятие, посвященное празднованию Нового года на территории МО Колтушское СП</t>
  </si>
  <si>
    <t>Организация и проведение мероприятия, в т.ч.:</t>
  </si>
  <si>
    <t>1</t>
  </si>
  <si>
    <t>7</t>
  </si>
  <si>
    <t>18</t>
  </si>
  <si>
    <t>20</t>
  </si>
  <si>
    <t>24</t>
  </si>
  <si>
    <t>1.1</t>
  </si>
  <si>
    <t>1.5</t>
  </si>
  <si>
    <t>1.6</t>
  </si>
  <si>
    <t>3.2</t>
  </si>
  <si>
    <t>3.3</t>
  </si>
  <si>
    <t>3.4</t>
  </si>
  <si>
    <t>3.5</t>
  </si>
  <si>
    <t>3.6</t>
  </si>
  <si>
    <t>4.2</t>
  </si>
  <si>
    <t>5.1</t>
  </si>
  <si>
    <t>5.2</t>
  </si>
  <si>
    <t>9.1</t>
  </si>
  <si>
    <t>9.2</t>
  </si>
  <si>
    <t>11.1</t>
  </si>
  <si>
    <t>11.2</t>
  </si>
  <si>
    <t>11.3</t>
  </si>
  <si>
    <t>11.4</t>
  </si>
  <si>
    <t>13.1</t>
  </si>
  <si>
    <t>Организация пребывания</t>
  </si>
  <si>
    <t>Спортивно-массовое мероприятие, посвященное Дню физкультурника</t>
  </si>
  <si>
    <t>32</t>
  </si>
  <si>
    <t>33</t>
  </si>
  <si>
    <t>Услуги  по организации и проведению физкультурно-спортивных мероприятий: занятия по хоккею с шайбой</t>
  </si>
  <si>
    <t>Расходы на изготовление и выпуск муниципальных газет</t>
  </si>
  <si>
    <t>Организация массовых культурных мероприятий на территории МО Колтушское СП</t>
  </si>
  <si>
    <t>Отчет</t>
  </si>
  <si>
    <t xml:space="preserve">о ходе реализации муниципальной программы </t>
  </si>
  <si>
    <t xml:space="preserve">Реквизиты Постановления (дата, номер, наименование) об утверждении муниципальной программы  (с изменениями) </t>
  </si>
  <si>
    <t>№ п/п</t>
  </si>
  <si>
    <t>Исполнение графика реализации (выполнения)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</si>
  <si>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</si>
  <si>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</si>
  <si>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</si>
  <si>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</si>
  <si>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</si>
  <si>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</si>
  <si>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 xml:space="preserve">Наименование муниципальной программы в соответствии с постановлением об ее утверждении  </t>
  </si>
  <si>
    <t>Наименование мероприятия, адрес выполнения работ</t>
  </si>
  <si>
    <t>ФАКТ
Выполнено работ (услуг) по МК, руб.</t>
  </si>
  <si>
    <t>Заключение МК на выполнение работ по объекту (№ МК, дата, наименование подрядчика)</t>
  </si>
  <si>
    <t>Исполнение мероприятий муниципальной программы</t>
  </si>
  <si>
    <t>Примечание</t>
  </si>
  <si>
    <t>Софинансирование стимулирующих выплат</t>
  </si>
  <si>
    <t>Услуги по организации мероприятия</t>
  </si>
  <si>
    <t>Праздничный концерт, посвященный  Дню снятия Блокады Ленинграда</t>
  </si>
  <si>
    <t xml:space="preserve">Приобретение ТМЦ (цветы) </t>
  </si>
  <si>
    <t>1.2.</t>
  </si>
  <si>
    <t>1.3.</t>
  </si>
  <si>
    <t>Услуги звукорежиссера</t>
  </si>
  <si>
    <t>1.4.</t>
  </si>
  <si>
    <t>1.5.</t>
  </si>
  <si>
    <t>1.6.</t>
  </si>
  <si>
    <t>Приобретение ТМЦ (открытки)</t>
  </si>
  <si>
    <t>1.7.</t>
  </si>
  <si>
    <t>1.8.</t>
  </si>
  <si>
    <t>Приобретение ТМЦ (наградная продукция)</t>
  </si>
  <si>
    <t>Экскурсия профориентационная</t>
  </si>
  <si>
    <t xml:space="preserve">Праздник, посвященный  Дню снятия Блокады Ленинграда (организация досуга для занимающихся в кружках и студиях ЦКД пос. Воейково) </t>
  </si>
  <si>
    <t xml:space="preserve">Экскурсия краеведческая по изучению музеев и памятников ЛО и СПб </t>
  </si>
  <si>
    <t>Праздничный концерт, посвященный Дню защитника Отечества</t>
  </si>
  <si>
    <t>7.1.</t>
  </si>
  <si>
    <t>7.2.</t>
  </si>
  <si>
    <t>7.3.</t>
  </si>
  <si>
    <t>7.4.</t>
  </si>
  <si>
    <t>Участие  в  фестивалях, конкурсах студий МКУ "Колтушская ЦКС"</t>
  </si>
  <si>
    <t xml:space="preserve">Открытая встреча  с исследователями Арктики и Антарктики, фотовыставка ( ЦКД пос. Воейково) </t>
  </si>
  <si>
    <t xml:space="preserve">Праздник, посвященный  Международному женскому дню "Прекрасной женщины портрет" (организация досуга для  занимающихся в кружках и студиях ЦКД пос. Воейково) </t>
  </si>
  <si>
    <t>Праздничный концерт, посвященный Международному женскому дню, для приглашенных.</t>
  </si>
  <si>
    <t>Услуги по организации концертной программы</t>
  </si>
  <si>
    <t>Праздник, посвященный Дню космонавтики (организация досуга для занимающихся в кружках и студиях ЦКД пос. Воейково)</t>
  </si>
  <si>
    <t>15.1.</t>
  </si>
  <si>
    <t>16.1.</t>
  </si>
  <si>
    <t>17.1.</t>
  </si>
  <si>
    <t>17.2.</t>
  </si>
  <si>
    <t>18.1.</t>
  </si>
  <si>
    <t>Экскурсия краеведческая для работников муниципальных учреждений МО Колтушское СП</t>
  </si>
  <si>
    <t>20.1.</t>
  </si>
  <si>
    <t xml:space="preserve">Митинг, посвященный годовщине Дня Победы (67 Армия) </t>
  </si>
  <si>
    <t>21.1.</t>
  </si>
  <si>
    <t>21.2.</t>
  </si>
  <si>
    <t>Праздничное мероприятие, посвященное годовщине Дня Победы</t>
  </si>
  <si>
    <t>22.1.</t>
  </si>
  <si>
    <t>22.2.</t>
  </si>
  <si>
    <t>Экскурсия краеведческая по изучению музеев и памятников ЛО и СПб, посвященная годовщине Дня победы.</t>
  </si>
  <si>
    <t>Экскурсия краеведческая по изучению музеев и памятников ЛО и СПб, посвященная годовщине Дня победы, для ветеранов МО Колтушское СП</t>
  </si>
  <si>
    <t>Мероприятие, посвященное выпуску дошкольников из ДДУ       (4 учреждения Разметелево, Хапо-ое, Колтуши, д.Старая)</t>
  </si>
  <si>
    <t>Мероприятие, посвященное последнему звонку школьников 9-11 классы    (2 учреждения Разметелево, Колтуши)</t>
  </si>
  <si>
    <t>Праздник, посвященный Дню Славянской письменности и культуры (организация досуга для жителей, занимающихся в кружках и студиях ЦКД пос. Воейково)</t>
  </si>
  <si>
    <t>Праздник, посвященный  Международному Дню защиты детей (организация досуга для жителей, занимающихся в кружках и студиях ЦКД пос. Воейково)</t>
  </si>
  <si>
    <t>32.1.</t>
  </si>
  <si>
    <t xml:space="preserve">Тематический вечер, посвященный Дню рождения Пушкина (организация досуга для жителей, занимающихся в кружках и студиях ЦКД пос. Воейково) </t>
  </si>
  <si>
    <t>Экскурсия краеведческая по изучению музеев и памятников ЛО и СПб для жителей, занимающихся в кружках и студиях, любительских объединениях.</t>
  </si>
  <si>
    <t>Мероприятие,  посвященное Дню медика</t>
  </si>
  <si>
    <t>Мероприятия досуговые: конкурсы, игры, часы досуга (организации летнего досуга  детей, подростков и молодежи на территории Колтушского СП)</t>
  </si>
  <si>
    <t xml:space="preserve">Участие коллектива ансамбля "Радуга" в Международном фестивале -конкурсе </t>
  </si>
  <si>
    <t>Концерт, посвященный  Дню начала Блокады</t>
  </si>
  <si>
    <t>48.1.1</t>
  </si>
  <si>
    <t>Экскурсия краеведческая по изучению музеев и памятников ЛО и СПб, Пушкинские места, музей-усадьба "Приютино", для жителей, занимающихся в кружках и студиях, любительских объединениях</t>
  </si>
  <si>
    <t>Организация транспортных услуг для перевозки жителей МО Колтушское СП разных возрастных категорий к месту проведения мероприятий местного, районного, областного и регионального уровня.</t>
  </si>
  <si>
    <t>Мероприятие "День открытых дверей, день хороших друзей" (организация досуга для жителей, занимающихся в кружках и студиях ЦКД пос. Воейково)</t>
  </si>
  <si>
    <t>Приобретение ТМЦ (сувенирная продукция)</t>
  </si>
  <si>
    <t>Мероприятие, посвященное Дню учителя</t>
  </si>
  <si>
    <t>Экскурсия краеведческая по изучению музеев и памятников ЛО и СПб для жителей, занимающихся в кружках и студиях, ЛО.</t>
  </si>
  <si>
    <t xml:space="preserve">Митинг, посвященный годовщине образования (67 Армия) </t>
  </si>
  <si>
    <t xml:space="preserve">Поздравление  80, 85, 90, 95, 100-летних Юбиляров </t>
  </si>
  <si>
    <t>Праздник Новый год(организация досуга для жителей, занимающихся в кружках и студиях ЦКД пос. Воейково)</t>
  </si>
  <si>
    <t>I</t>
  </si>
  <si>
    <t>Организация и проведение культурно-массового мероприятия</t>
  </si>
  <si>
    <t>10.2</t>
  </si>
  <si>
    <t>Массовое праздничное мероприятие, посвященное 73 годовщине Дня Победы  7-8-9 мая 5 площадок (Разметелево, Озерки, Колтуши, Канисты, Воейково)</t>
  </si>
  <si>
    <t>23.1.</t>
  </si>
  <si>
    <t>23.1.1.</t>
  </si>
  <si>
    <t>23.1.2.</t>
  </si>
  <si>
    <t>23.1.3</t>
  </si>
  <si>
    <t>23.1.4.</t>
  </si>
  <si>
    <t>23.1.5.</t>
  </si>
  <si>
    <t>23.2.</t>
  </si>
  <si>
    <t>Массовое праздничное мероприятие, посвященное Международному Дню защиты детей, 2 площадки (Колтуши, Разметелево)</t>
  </si>
  <si>
    <t>33.1.</t>
  </si>
  <si>
    <t>33.2</t>
  </si>
  <si>
    <t>Концерт, посвященный  Дню Колтушского СП, 1 площадка (Колтуши)</t>
  </si>
  <si>
    <t>50.1.</t>
  </si>
  <si>
    <t>50.1.1.</t>
  </si>
  <si>
    <t>50.1.2.</t>
  </si>
  <si>
    <t>Услуги по украшению сцены</t>
  </si>
  <si>
    <t>50.1.3.</t>
  </si>
  <si>
    <t>Услуги по  изготовлению баннера</t>
  </si>
  <si>
    <t>50.1.4.</t>
  </si>
  <si>
    <t>50.1.5.</t>
  </si>
  <si>
    <t>50.1.6.</t>
  </si>
  <si>
    <t>50.2.</t>
  </si>
  <si>
    <t>66.1</t>
  </si>
  <si>
    <t>66.2</t>
  </si>
  <si>
    <t>КБК</t>
  </si>
  <si>
    <t>II</t>
  </si>
  <si>
    <t>Обеспечение деятельности казенных учреждений культуры в МО Колтушское СП</t>
  </si>
  <si>
    <t>Расходы на услуги связи (почтовые отправления)</t>
  </si>
  <si>
    <t>6.2.</t>
  </si>
  <si>
    <t>Увеличение стоимости ОС в т.ч. по платным услугам</t>
  </si>
  <si>
    <t xml:space="preserve">Расходы на содержание имущества ремонт и заправка картриджей </t>
  </si>
  <si>
    <t xml:space="preserve">Увеличение стоимости ОС </t>
  </si>
  <si>
    <t>Вывоз, размещение и обезвреживание отходов</t>
  </si>
  <si>
    <t>ЧУ "Бюджет" подписка на журнал и эл.версию</t>
  </si>
  <si>
    <t>Приобретение канцелярских  товаров</t>
  </si>
  <si>
    <t>Услуги правового характера (нотариальные услуги)</t>
  </si>
  <si>
    <t>Тех.обеспечение ДК Воейково</t>
  </si>
  <si>
    <t>Расходы на оплату налогов, сборов и иных платежей</t>
  </si>
  <si>
    <t>Охранные услуги здания (инв. № 10092)   ЛО, Всеволожский район, п. Воейково, д.87б</t>
  </si>
  <si>
    <t>Камеры видеонаблюдения здания (Ленинградская обл., Всеволожский р-н п.Воейково д.87б)</t>
  </si>
  <si>
    <t>Коммунальные услуги по содержанию помещения библиотеки д.Хапо-Ое д.1 пом.1(Договор на водоснабжение)</t>
  </si>
  <si>
    <t>Коммунальные услуги по содержанию помещения библиотеки д.Хапо-Ое д.1 пом.1(Договор на оплату стоков)</t>
  </si>
  <si>
    <t>Коммунальные услуги по содержанию помещения библиотеки д.Хапо-Ое д.1 пом.1(Договор на теплоснабжение )</t>
  </si>
  <si>
    <t>III</t>
  </si>
  <si>
    <t>Заработная плата работников учреждения культуры софинансирование стимулирующих выплат из местного бюджета</t>
  </si>
  <si>
    <t>Начисления на заработную плату  софинансирование стимулирующих выплат из местного бюджета</t>
  </si>
  <si>
    <t>IV</t>
  </si>
  <si>
    <t>Стимулирующие выплаты из бюджета ЛО</t>
  </si>
  <si>
    <t>Заработная плата работников учреждения культуры  стимулирующие выплаты из областного бюджета</t>
  </si>
  <si>
    <t>Начисления на заработную плату  стимулирующие выплаты из областного бюджета</t>
  </si>
  <si>
    <t>V</t>
  </si>
  <si>
    <t>Организация и проведение физкультурно-оздоровительных и спортивных мероприятий</t>
  </si>
  <si>
    <t>7.5.</t>
  </si>
  <si>
    <t>7.6.</t>
  </si>
  <si>
    <t>7.7.</t>
  </si>
  <si>
    <t>Всероссийский турнир по Русским Шашкам</t>
  </si>
  <si>
    <t>Услуги по организации  пребывания  и проведения турнира</t>
  </si>
  <si>
    <t>14.2.</t>
  </si>
  <si>
    <t>15.2.</t>
  </si>
  <si>
    <t>15.3.</t>
  </si>
  <si>
    <t>Турнир по шахматам, в честь Дня Победы</t>
  </si>
  <si>
    <t>16.2.</t>
  </si>
  <si>
    <t>16.3.</t>
  </si>
  <si>
    <t>18.2.</t>
  </si>
  <si>
    <t>18.3.</t>
  </si>
  <si>
    <t>18.4.</t>
  </si>
  <si>
    <t>18.5.</t>
  </si>
  <si>
    <t>18.6.</t>
  </si>
  <si>
    <t>Велодуатлон для детей и подростков</t>
  </si>
  <si>
    <t>Футбольный турнир к Дню защиты детей</t>
  </si>
  <si>
    <t xml:space="preserve">Открытый чемпионат МО Колтушское СП по пляжному волейболу </t>
  </si>
  <si>
    <t>22.3.</t>
  </si>
  <si>
    <t>23.3.</t>
  </si>
  <si>
    <t>ИТОГО:</t>
  </si>
  <si>
    <t>VI</t>
  </si>
  <si>
    <t>Организация и проведение оздоровительной кампании детей и мероприятий молодежной политики</t>
  </si>
  <si>
    <t xml:space="preserve">Мероприятие "Живу свободно!Спортивно!Творчески! Активно!Позитивно!" </t>
  </si>
  <si>
    <t>Оплата поощрений победителям, призерам, номинантам</t>
  </si>
  <si>
    <t xml:space="preserve">Этнофестиваль </t>
  </si>
  <si>
    <t>2.2.</t>
  </si>
  <si>
    <t>2.3.</t>
  </si>
  <si>
    <t>2.4.</t>
  </si>
  <si>
    <t>Услуги по проведению мастер-классов</t>
  </si>
  <si>
    <t>2.5.</t>
  </si>
  <si>
    <t>VII</t>
  </si>
  <si>
    <t xml:space="preserve">1. </t>
  </si>
  <si>
    <t>23.4</t>
  </si>
  <si>
    <t>«Развитие и сохранение культуры, спорта и искусства на территории муниципального образования Колтушское сельское поселение Всеволожского муниципального района Ленинградской области в 2019г.»</t>
  </si>
  <si>
    <t>Период реализации: 2019 г.</t>
  </si>
  <si>
    <t>1.9.</t>
  </si>
  <si>
    <t>Приобретение ТМЦ (рамки)</t>
  </si>
  <si>
    <t>7.4</t>
  </si>
  <si>
    <t>7.5</t>
  </si>
  <si>
    <t>7.6</t>
  </si>
  <si>
    <t>Организация и проведение мероприятия посвящ.Дню Защитника Отечества</t>
  </si>
  <si>
    <t>11.1.1</t>
  </si>
  <si>
    <t>11.1.2</t>
  </si>
  <si>
    <t>11.1.3</t>
  </si>
  <si>
    <t>11.1.4</t>
  </si>
  <si>
    <t>12.1</t>
  </si>
  <si>
    <t>12.2</t>
  </si>
  <si>
    <t>12.3</t>
  </si>
  <si>
    <t>12.4</t>
  </si>
  <si>
    <t>Организация и проведение мероприятия посвящ.Дню работника культуры</t>
  </si>
  <si>
    <t>14.1</t>
  </si>
  <si>
    <t>15.1</t>
  </si>
  <si>
    <t>16.1</t>
  </si>
  <si>
    <t>16.2</t>
  </si>
  <si>
    <t>16.3</t>
  </si>
  <si>
    <t>17.1</t>
  </si>
  <si>
    <t>18.1</t>
  </si>
  <si>
    <t>18.2</t>
  </si>
  <si>
    <t>18.3</t>
  </si>
  <si>
    <t>19.1</t>
  </si>
  <si>
    <t>20.1</t>
  </si>
  <si>
    <t>20.2</t>
  </si>
  <si>
    <t>20.3</t>
  </si>
  <si>
    <t xml:space="preserve">Приобретение ТМЦ (продукты,) </t>
  </si>
  <si>
    <t>20.4</t>
  </si>
  <si>
    <t>20.5</t>
  </si>
  <si>
    <t>21.1</t>
  </si>
  <si>
    <t>21.2</t>
  </si>
  <si>
    <t>22.1</t>
  </si>
  <si>
    <t>23.1</t>
  </si>
  <si>
    <t>23.2</t>
  </si>
  <si>
    <t>24.1</t>
  </si>
  <si>
    <t>24.2</t>
  </si>
  <si>
    <t>25.1</t>
  </si>
  <si>
    <t>26.1</t>
  </si>
  <si>
    <t>27.1</t>
  </si>
  <si>
    <t>30.1</t>
  </si>
  <si>
    <t>31.1.</t>
  </si>
  <si>
    <t>33.3</t>
  </si>
  <si>
    <t>34.1</t>
  </si>
  <si>
    <t>34.2</t>
  </si>
  <si>
    <t>34.3</t>
  </si>
  <si>
    <t>34.4</t>
  </si>
  <si>
    <t>35.1</t>
  </si>
  <si>
    <t>35.2</t>
  </si>
  <si>
    <t>35.3</t>
  </si>
  <si>
    <t>35.4</t>
  </si>
  <si>
    <t>36.1</t>
  </si>
  <si>
    <t>37.1</t>
  </si>
  <si>
    <t>37.2</t>
  </si>
  <si>
    <t>38.1</t>
  </si>
  <si>
    <t>39.1</t>
  </si>
  <si>
    <t>40.1</t>
  </si>
  <si>
    <t>41.1</t>
  </si>
  <si>
    <t>42.1</t>
  </si>
  <si>
    <t>43.1</t>
  </si>
  <si>
    <t>43.2</t>
  </si>
  <si>
    <t>43.3</t>
  </si>
  <si>
    <t>44.1</t>
  </si>
  <si>
    <t>45.1</t>
  </si>
  <si>
    <t>46.1</t>
  </si>
  <si>
    <t>47</t>
  </si>
  <si>
    <t>47.1</t>
  </si>
  <si>
    <t>48.1</t>
  </si>
  <si>
    <t>48.1.2</t>
  </si>
  <si>
    <t>48.2</t>
  </si>
  <si>
    <t>48.3</t>
  </si>
  <si>
    <t>48.4</t>
  </si>
  <si>
    <t>48.5</t>
  </si>
  <si>
    <t>48.6</t>
  </si>
  <si>
    <t>48.7</t>
  </si>
  <si>
    <t>49</t>
  </si>
  <si>
    <t>49.1</t>
  </si>
  <si>
    <t>50.1</t>
  </si>
  <si>
    <t>51.1</t>
  </si>
  <si>
    <t>52.1</t>
  </si>
  <si>
    <t>53</t>
  </si>
  <si>
    <t>53.1</t>
  </si>
  <si>
    <t>53.2</t>
  </si>
  <si>
    <t>53.3</t>
  </si>
  <si>
    <t>54.1</t>
  </si>
  <si>
    <t>54.2</t>
  </si>
  <si>
    <t>54.3</t>
  </si>
  <si>
    <t>55.1</t>
  </si>
  <si>
    <t>55.2</t>
  </si>
  <si>
    <t>Культурная программа</t>
  </si>
  <si>
    <t>56.2</t>
  </si>
  <si>
    <t>56.3</t>
  </si>
  <si>
    <t>56.4</t>
  </si>
  <si>
    <t>56.5</t>
  </si>
  <si>
    <t>57.1</t>
  </si>
  <si>
    <t>57.2</t>
  </si>
  <si>
    <t>58.1</t>
  </si>
  <si>
    <t>58.1.1</t>
  </si>
  <si>
    <t>58.1.2</t>
  </si>
  <si>
    <t>58.1.3</t>
  </si>
  <si>
    <t>58.1.4</t>
  </si>
  <si>
    <t>58.1.5</t>
  </si>
  <si>
    <t>58.2</t>
  </si>
  <si>
    <t>58.3</t>
  </si>
  <si>
    <t>59.1</t>
  </si>
  <si>
    <t>Организация детского новогоднего представления</t>
  </si>
  <si>
    <t>60.1</t>
  </si>
  <si>
    <t>60.2</t>
  </si>
  <si>
    <t>61.1</t>
  </si>
  <si>
    <t>62</t>
  </si>
  <si>
    <t>62.1</t>
  </si>
  <si>
    <t>63</t>
  </si>
  <si>
    <t>Организация новогдних представлений для детей МО Колтушское СП</t>
  </si>
  <si>
    <t>23.1.6</t>
  </si>
  <si>
    <t>Приобретение флагов (3 вида по 531), древок и держателей</t>
  </si>
  <si>
    <t>23.1.7</t>
  </si>
  <si>
    <t>23.1.8</t>
  </si>
  <si>
    <t>23.1.9</t>
  </si>
  <si>
    <t>Услуги по организации концертной программы с приглашением медийной личности</t>
  </si>
  <si>
    <t>Уличный новогодний концерт, 3 площадки (Разметелево, Хапо-Ое,д. Старая ); концерт в ресторане на озере для приглашенных с фуршетом и дискотекой</t>
  </si>
  <si>
    <t>Уличные Новогодние представления д/детей, 5 площадок (Разметелево, Хапо-Ое, Колтуши, д.Старая, Воейково)</t>
  </si>
  <si>
    <t>Прочие несоциальные выплаты персоналу в денежной форме</t>
  </si>
  <si>
    <t>Оплата больничных листов за счет работодателя</t>
  </si>
  <si>
    <t>7.1</t>
  </si>
  <si>
    <t>7.2</t>
  </si>
  <si>
    <t>7.3</t>
  </si>
  <si>
    <t>Расходы за аренду помещений по адресу ул.Чоглокова д.2 пом.7 на период  с 01.04.19-31.12.19</t>
  </si>
  <si>
    <t>Расходы на содержание имущества (ремонт печи)</t>
  </si>
  <si>
    <t>Увеличение стоимости ОС (приобретение книг  265,0 и ОС для организации работы художественной студии )</t>
  </si>
  <si>
    <t>Расходы на услуги связи (интернет)</t>
  </si>
  <si>
    <t>Приобретение ТМЦ ( для организации работы кружков и студий (приобретение ткани))</t>
  </si>
  <si>
    <t>Приобретение ТМЦ ( для организации работы кружков и студий (краски, глина))</t>
  </si>
  <si>
    <t>Приобретение библиотечной техники</t>
  </si>
  <si>
    <t xml:space="preserve">Приобретение хозяйст.,санитарных  и расходных материалов для содержания помещений  </t>
  </si>
  <si>
    <t>30</t>
  </si>
  <si>
    <t>Расходы на оплату пени по договорам и другие экономические санкции</t>
  </si>
  <si>
    <t>31.2</t>
  </si>
  <si>
    <t>Расходы на уплату госпошлины на регистрацию договора аренды помещения</t>
  </si>
  <si>
    <t xml:space="preserve">Противопожарные мероприятия </t>
  </si>
  <si>
    <t>Договор  на обслуживание противопожарной сигнализации)ЛО Всеволожский р п.Воейковод.87б здание ДК.</t>
  </si>
  <si>
    <t>Мониторинг пожарной безопасности с выводом сигнальной кнопки</t>
  </si>
  <si>
    <t>Техническое обслуживание узлов учета т/энергии здания ЛО Всеволожский р п.Воейковод.87б здание ДК</t>
  </si>
  <si>
    <t>Коммунальные услуги по содержанию здания (Договор на электроснабжение)ЛО Всеволожский р п.Воейковод.87б здание ДК</t>
  </si>
  <si>
    <t>Коммунальные услуги по содержанию здания (Договор на водоснабжение)ЛО Всеволожский р п.Воейковод.87б здание ДК</t>
  </si>
  <si>
    <t>Коммунальные услуги по содержанию здания (Договор на водоотведение)ЛО Всеволожский р п.Воейковод.87б здание ДК.</t>
  </si>
  <si>
    <t>Коммунальные услуги по содержанию здания (Договор на теплоснабжение)ЛО Всеволожский р п.Воейковод.87б здание ДК</t>
  </si>
  <si>
    <t>43</t>
  </si>
  <si>
    <t>44</t>
  </si>
  <si>
    <t>Коммунальные услуги по содержанию помещения библиотеки д.Хапо-Ое д.1 пом.1(Договор на электроснабжение )</t>
  </si>
  <si>
    <t>Оказание услуг по ремонту  пожарной сигнализацииЛО Всеволожский р п.Воейковод.87б здание ДК.</t>
  </si>
  <si>
    <t>Приобретение  зеркал для зала в ДК Воейково</t>
  </si>
  <si>
    <t>45</t>
  </si>
  <si>
    <t>Оказание услуг по ремонту светодиодных консолей(приобретение расходных материалов и вознаграждение за произведенные работы по дог.ГПД + налоги)</t>
  </si>
  <si>
    <t>46</t>
  </si>
  <si>
    <t>Оказание услуг по очистке крыши  и прилегающей территории ДК Воейково  от снега ( ЛО, Всеволожский р-н п.Воейково д.87 б, здание ДК)</t>
  </si>
  <si>
    <t>Информационный стенд  "Колтуши сегодня"( Поставка и изготовление стенда у здания администрации)</t>
  </si>
  <si>
    <t>48</t>
  </si>
  <si>
    <t>Информационный стенд  "Почетные жители Колтушей"( Поставка и изготовление стенда)</t>
  </si>
  <si>
    <t>Приобретение спецодежды</t>
  </si>
  <si>
    <t>50</t>
  </si>
  <si>
    <t xml:space="preserve">Приобретение проектора и экрана  и ноутбука </t>
  </si>
  <si>
    <t>52</t>
  </si>
  <si>
    <t>Ремонт и заправка огнетушителей</t>
  </si>
  <si>
    <t>211</t>
  </si>
  <si>
    <t>266</t>
  </si>
  <si>
    <t>062</t>
  </si>
  <si>
    <t>213</t>
  </si>
  <si>
    <t>221</t>
  </si>
  <si>
    <t>224</t>
  </si>
  <si>
    <t>225</t>
  </si>
  <si>
    <t>310</t>
  </si>
  <si>
    <t>222</t>
  </si>
  <si>
    <t>226</t>
  </si>
  <si>
    <t>347</t>
  </si>
  <si>
    <t>346</t>
  </si>
  <si>
    <t>292</t>
  </si>
  <si>
    <t>295</t>
  </si>
  <si>
    <t>291</t>
  </si>
  <si>
    <t>6.3</t>
  </si>
  <si>
    <t>Приобретение ТМЦ для участников  турнира (сок .вода,шоколад)</t>
  </si>
  <si>
    <t xml:space="preserve">Приобретение ТМЦ (призы+призы обладателям кубка) </t>
  </si>
  <si>
    <t>9.3</t>
  </si>
  <si>
    <t>11.5</t>
  </si>
  <si>
    <t>15.4</t>
  </si>
  <si>
    <t>16.4</t>
  </si>
  <si>
    <t>17.3</t>
  </si>
  <si>
    <t>Услуги по техническому обеспечению мероприятий (покос трассы)</t>
  </si>
  <si>
    <t>18.7</t>
  </si>
  <si>
    <t>18.8</t>
  </si>
  <si>
    <t xml:space="preserve">Приобретение ТМЦ (стаканы однораз.) </t>
  </si>
  <si>
    <t>19.6</t>
  </si>
  <si>
    <t>21.3</t>
  </si>
  <si>
    <t>24.3</t>
  </si>
  <si>
    <t>24.4</t>
  </si>
  <si>
    <t>25.2</t>
  </si>
  <si>
    <t>25.3</t>
  </si>
  <si>
    <t>25.4</t>
  </si>
  <si>
    <t>25.5</t>
  </si>
  <si>
    <t>25.6</t>
  </si>
  <si>
    <t>25.7</t>
  </si>
  <si>
    <t>25.8</t>
  </si>
  <si>
    <t>26.2</t>
  </si>
  <si>
    <t>27.2</t>
  </si>
  <si>
    <t>27.3</t>
  </si>
  <si>
    <t>27.4</t>
  </si>
  <si>
    <t>27.5</t>
  </si>
  <si>
    <t>27.6</t>
  </si>
  <si>
    <t>27.7</t>
  </si>
  <si>
    <t>27.8</t>
  </si>
  <si>
    <t>27.9</t>
  </si>
  <si>
    <t>30.2</t>
  </si>
  <si>
    <t>30.3</t>
  </si>
  <si>
    <t>31.3</t>
  </si>
  <si>
    <t>31.4</t>
  </si>
  <si>
    <t>31.5</t>
  </si>
  <si>
    <t>32.1</t>
  </si>
  <si>
    <t>32.2</t>
  </si>
  <si>
    <t>32.3</t>
  </si>
  <si>
    <t>Оплата взносов за участие (футбол)</t>
  </si>
  <si>
    <t>Организация тренировочного процесса занятий по хоккею с шайбой на льду</t>
  </si>
  <si>
    <t>Услуги по техническому обеспечению мероприятий (предоставление шатра)</t>
  </si>
  <si>
    <t>Взнос за участие в официальной лиге КВН малых городов.</t>
  </si>
  <si>
    <t>Приобретение футболок с логотипом для участников КВН</t>
  </si>
  <si>
    <t>Обеспечение жителей информацией о культурном развитии муниципального образования.</t>
  </si>
  <si>
    <t>КВР</t>
  </si>
  <si>
    <t>КОСГУ</t>
  </si>
  <si>
    <t>доп код</t>
  </si>
  <si>
    <t xml:space="preserve"> </t>
  </si>
  <si>
    <t>244</t>
  </si>
  <si>
    <t>КЦСР</t>
  </si>
  <si>
    <t>дог. № 08/19
от 21.01.19.
Читян Л.В. ИП</t>
  </si>
  <si>
    <t>дог. № 19/19
от 06.03.19.
Вытнова О.Н. ИП</t>
  </si>
  <si>
    <t>дог. № 049/2019
от 15.01.19.
ГБУЗ Всеволожская КМБ</t>
  </si>
  <si>
    <t>дог. № 27/19
от 21.03.19.
Нилов В.Н. ИП</t>
  </si>
  <si>
    <t>дог. № 11870324
от 14.01.19.
Комус-Петербург ООО</t>
  </si>
  <si>
    <t>дог. № 04/19
от 10.01.19.
АВК СТРОЙ ООО</t>
  </si>
  <si>
    <t>дог. № 25/19
от 07.03.19.
АВК СТРОЙ ООО</t>
  </si>
  <si>
    <t>дог. № 371
от 04.02.19.
Октоблу ООО</t>
  </si>
  <si>
    <t>дог. № 665
от 19.02.19.
Октоблу ООО</t>
  </si>
  <si>
    <t>дог. № КЧ2305-19
от 25.02.19.
ОО  "Санкт-Петербургская Федерация настольного тенниса"</t>
  </si>
  <si>
    <t>дог. № 274
от 13.02.19.
Артанс СПб ООО</t>
  </si>
  <si>
    <t>Штатное расписание № 4 от 24.12.18.</t>
  </si>
  <si>
    <t>дог. № 01/19
от 11.01.19.
ТК Малахит ООО</t>
  </si>
  <si>
    <t>дог. № 247000008072-РТК
от 09.01.19.
Ростелеком ПАО</t>
  </si>
  <si>
    <t>дог. № 247000008072
от 09.01.19.
Ростелеком ПАО</t>
  </si>
  <si>
    <t>дог. № 19/19
от 25.02.19.
Бойцова Ю.О. ИП</t>
  </si>
  <si>
    <t>дог. 09/19
от 28.01.19.
Комус-Петербург ООО
дог. № 3718847
от 22.03.19.
Комус ООО</t>
  </si>
  <si>
    <t>дог. № 26/19
от 11.03.19.
Каролина текстиль ООО</t>
  </si>
  <si>
    <t>дог. № 13/19от 13.02.19.
ИД Рост ООО</t>
  </si>
  <si>
    <t>Нотариальная палата ЛО от 08.02.19.</t>
  </si>
  <si>
    <t>дог. № 1 от 09.01.19. Цветкова Н.А.
дог. № 2 от 09.01.19. Шашкова К.А.
дог. № 3 от 09.01.19. Степанова Е.В.
дог. № 4 от 09.01.19.Королева Т.В.
дог. № 5 от 01.02.19.Менжинская А.В.</t>
  </si>
  <si>
    <t>дог. № 31-19
от 09.01.19.
Привалов П.А. ИП</t>
  </si>
  <si>
    <t>дог. 47120000309471
от 25.01.19.
ПСК АО</t>
  </si>
  <si>
    <t>дог.  К-29.1.19-ВС-Б
от 09.01.19.
ЛОКС ООО</t>
  </si>
  <si>
    <t>дог. К-29.2.19-ВО-Б
от 09.01.19.
ЛОКС ООО</t>
  </si>
  <si>
    <t>дог. Р-67.1.19-ВС-Б
от 09.01.19.
ЛОКС ООО</t>
  </si>
  <si>
    <t>дог. Р-68.2.19-ВО-Б
от 09.01.19.
ЛОКС ООО</t>
  </si>
  <si>
    <t>дог. № 14/19
от 13.02.19.
Строй-Олимп ООО</t>
  </si>
  <si>
    <t>дог. 16/19
от 21.02.19.
ТРЦ Колтуши ООО</t>
  </si>
  <si>
    <t>дог. № 07/19
от 21.01.19.
Эвентус ООО</t>
  </si>
  <si>
    <t>дог. № 05/19
от 10.01.19.
Пальмира ООО</t>
  </si>
  <si>
    <t>Белявский В.Г. ИП от 20.02.19.</t>
  </si>
  <si>
    <t>дог. № 06/19
от 18.01.19.
Смирнова Т.Б. ИП</t>
  </si>
  <si>
    <t>Дог. № 3718847
от 22.03.19.
Комус ООО</t>
  </si>
  <si>
    <t>ООО Ашан от 09.02.19.
ООО ТД Интерторг от 24.02.19. (АО № 5)</t>
  </si>
  <si>
    <t>дог. № 07/19
от 21.01.19.
Эвентус ООО
Магазин № 5 Всеволожское ПО от 15.01.19.</t>
  </si>
  <si>
    <t>Дог. № 2
от 13.03.19.
СПб ОО "ЦКиТР "Восходящая звезда"
Дог. № 9
от 12.04.19.
АНО ДО "ЦРКИиМТ "Артис Студио"</t>
  </si>
  <si>
    <t>Дог. № 128/19
от 13.03.19.
Про Мир ООО</t>
  </si>
  <si>
    <t>Дог. № 24352477
от 10.04.19.
Комус ООО</t>
  </si>
  <si>
    <t>Приобретение ТМЦ (шары)</t>
  </si>
  <si>
    <t>349</t>
  </si>
  <si>
    <t>Дог. № 31/19
от 01.04.19.
Похочева О.В. ИП</t>
  </si>
  <si>
    <t>Дог. № 36/19
от 18.04.19.
СПб ГБУК театр Буфф</t>
  </si>
  <si>
    <t>МК № 49/19
от 20.05.19.
Журих Ю.К. ИП
Дог. № 24726158
от 16.05.19.
Комус ООО</t>
  </si>
  <si>
    <t>33.2.1</t>
  </si>
  <si>
    <t>Приобретение ТМЦ (набор кофе, конфеты)</t>
  </si>
  <si>
    <t>Дог. № 62/19
от 11.06.19.
Похочева О.В. ИП</t>
  </si>
  <si>
    <t>Дог. № 60/19
от 31.05.19.
СПб ГБУК театр Буфф</t>
  </si>
  <si>
    <t>Дог. № 63/19
от 19.06.19.
Диалог-Конверсия-СПб ООО
Дог. № 12413238
от 21.06.19.
Комус ООО</t>
  </si>
  <si>
    <t>МК № 15/19
от 26.02.19.
ИВЦ ООО</t>
  </si>
  <si>
    <t>Дог. № 05-19Ч
от 14.01.19.
МАУ "Спортивго-зрелищный комплекс"</t>
  </si>
  <si>
    <t>Дог. № 02-1/19СС
от 09.01.19.
Дог. № 02-2/19СС
от 09.01.19.
МК № 10/19
от 08.02.19.
ГАУ ЛО "СТЦ ЛО"</t>
  </si>
  <si>
    <t>МК № 03/19
от 09.01.19.
ХК Ладога ООО</t>
  </si>
  <si>
    <t>Дог. № 52/19
от 14.05.19.
Тверская ОМО "Лига КВН Малых городов"</t>
  </si>
  <si>
    <t>Дог. № 22/19
от 07.03.19.
Диалог ООО
Дог. № 23/19
от 07.03.19.
Мастерская Шоу-программ пародии и юмора №Пластилиновая ворона"
Дог. № 24/19
от 07.03.19.
Курятов О.В. ИП</t>
  </si>
  <si>
    <t>Организация и проведение культурно-массового мероприятия( Митинги Канисты,Колтуши ,Озерки и концерт 600000,00)</t>
  </si>
  <si>
    <t>Приобретение ТМЦ  для перезахоронения останков  военнослужащиз  погибших в ВОВ (гробы, ткань габардин кумач.)</t>
  </si>
  <si>
    <t>Приобретение ТМЦ (открытки,пакеты под.)</t>
  </si>
  <si>
    <t xml:space="preserve">Приобретение ТМЦ (продуктов. наборы и продукты для полевой кухни) </t>
  </si>
  <si>
    <t>Приобретение атрибутики с символикой 9 мая  Значки  в  кол-ве1000 шт. и флажки в кол-ве 500 шт.</t>
  </si>
  <si>
    <t xml:space="preserve">Приобретение ТМЦ ( венки , цветы) </t>
  </si>
  <si>
    <t>Услуги по организации питания 8 и 9 Мая</t>
  </si>
  <si>
    <t>23.1.10</t>
  </si>
  <si>
    <t>Приобретение баннера  2 шт.</t>
  </si>
  <si>
    <t>Адванта ООО
05.04.19.</t>
  </si>
  <si>
    <t>Дог. № 32/19
Дог. № 33/19
от 05.04.19.
Служба экспресс-доставки ООО</t>
  </si>
  <si>
    <t>Дог. № 47/19
от 06.05.19.
Похочева О.В.</t>
  </si>
  <si>
    <t>Дог. № 48/19
от 06.05.19.
Похочева О.В. ИП
Дог. № 1590
от 23.04.19.
Миллион открыток и поздравлений ООО
Дог. № 38/19
от 23.04.19.
Кононенко А.Г. ИП</t>
  </si>
  <si>
    <t>Дог. № 43/19
от 30.04.19.
Зенкова А.Н. ИП</t>
  </si>
  <si>
    <t>Дог. № 41/19
от 26.04.19.
Ритуал ООО
Дог. № 42/19
от 26.04.19.
Читян Л.В. ИП</t>
  </si>
  <si>
    <t>Дог. № 40/19
от 06.05.19.
Комфорт-М ООО</t>
  </si>
  <si>
    <t>Дог. № 104/19-Р
от 20.05.19.
Леноблреклама ООО</t>
  </si>
  <si>
    <t>Дог. № 17/19
от 21.02.19.
Петровицкий С.Н. ИП</t>
  </si>
  <si>
    <t>Дог. № 28/19
от 25.03.19.
ТРЦ Колтуши ООО
Дог. № 29/19
от 25.03.19.
Похочева О.В. ИП</t>
  </si>
  <si>
    <t>Отчетный период: с 01.01.2019 года по 30.06.2019 года</t>
  </si>
  <si>
    <t>Приобретение продуктов (Чупа-чупсы10,00*1000 шт.)</t>
  </si>
  <si>
    <t>33.4</t>
  </si>
  <si>
    <t>Приобретение ТМЦ расходных материалов    (Шары ,хлопушки,большие шары, флажки, самокаты ,мелкие призы)</t>
  </si>
  <si>
    <t>33.5</t>
  </si>
  <si>
    <t>Приобретение ТМЦ для проведения мастерклассов (глина ,краски,кисти,пластилин,стаканы)</t>
  </si>
  <si>
    <t>Дог. № 59/19
от 28.05.19.
Петровицкий С.Н. ИП
Дог. № 103
от 28.05.19.
Тимофеева Л.А. ИП
Дог. № 57/19
от 28.05.19.
Ктутота ООО
Дог. № 58/19
от 28.05.19.
Мастерская Шоу-программ пародии и юмора "Пластилиновая ворона" ООО</t>
  </si>
  <si>
    <t>УПД № 2574
от 29.05.19.
Миллион открыток и поздравлений ООО
Чек № 8523
от 31.05.19.
ЗАО ТД Перекресток</t>
  </si>
  <si>
    <t>Дог. № 56/19от 28.05.19.
Похочева О.В. ИП
Дог. № 1/471781
от 28.05.19.
Спортмастер ООО
УПД № 2574
УПД № 2575
от 29.05.19.
Миллион открыток и поздравлений ООО</t>
  </si>
  <si>
    <t>Дог. № 13/РУ
от 29.03.19.
Велком ООО
Дог. № 925
от 08.04.19.
Каролина текстиль ООО
Чек № 61
от 16.04.19.
БигБокс ООО</t>
  </si>
  <si>
    <t>Чек № 99
от 08.04.19.
Стайл ООО
Чек № 182 от 31.05.19.
Чек № 93 от 03.06.19.
Стройторговля ООО
Тов.чек № 178955 от 25.04.19.
АО Нео Сервис
Тов.чек № 165403 от 30.03.19.
МВМ ООО
Чек № 175 от 13.06.19.
Стройторговля ООО</t>
  </si>
  <si>
    <t xml:space="preserve">дог. № 11870324
от 14.01.19.
Комус-Петербург ООО
дог. № 3718847
 от 22.03.2019 г.
Комус ООО
ИП Тихонова от 10.04.19.
УПД № 2575
от 29.05.19.
Миллион открыток и поздравлений ООО
ИП Ершов Б.А. от 20.05.19.
</t>
  </si>
  <si>
    <t>дог. № 274
от 13.02.19.
Артанс СПб ООО
ИП Ершов Б.А. от 20.05.19.</t>
  </si>
  <si>
    <t>Дог. № 35/19
от 12.04.19.
Служба экспресс-доставки</t>
  </si>
  <si>
    <t>ООО ТД Интерторг от 02.03.19. (АО № 5)
Дог. № 35/19
от 12.04.19.
Служба экспресс-доставки</t>
  </si>
  <si>
    <t>дог. № 665
от 19.02.19.
Октоблу ООО
Дог. № 3718847
от 22.03.19.
Комус ООО</t>
  </si>
  <si>
    <t>дог. № 371
от 04.02.19.
Октоблу ООО
Дог. № 3718847
от 22.03.19.
Комус ООО</t>
  </si>
  <si>
    <t>Дог. № 3082 от 07.02.19.
Дог. № 8800 от 29.03.19.
Дог. № 15216 от 29.05.19.
Дог. № 15242 от 29.05.19.
ГБУЗ Всеволожская КМБ</t>
  </si>
  <si>
    <t>дог. № 18/19
от 27.02.19.
ТРЦ Колтуши ООО
дог. № 20/19
от 06.03.19.
ТРЦ Колтуши ООО
Дог. № 17/19
от 21.02.19.
Петровицкий С.Н. ИП
Дог. № 21/19
от 21.03.19.
Похочева О.В. ИП</t>
  </si>
  <si>
    <t>Расходы за аренду помещений (Школьный д. 1 оф. 7,12)</t>
  </si>
  <si>
    <t>Расходы за аренду помещений (Чоглокова д. 4)</t>
  </si>
  <si>
    <t>Дог. № 02/19
от 29.03.19.
Новый город ООО</t>
  </si>
  <si>
    <t>Дог. № 30/19
от 29.03.19.
Новый город ООО</t>
  </si>
  <si>
    <t>дог. № 18/19
от 27.02.19.
Меркурий ООО
дог. № 8от 19.03.19.
ЛенмольбертСтрой ООО
Дог. № 61/19
от 31.05.19.
Издательство Эксмо ООО</t>
  </si>
  <si>
    <t>счет № КЭ47/КЭ100-7986625
от 01.02.19.
счет № КЭ47/КЭ010-8075943
от 11.04.19.
Центринформ АО</t>
  </si>
  <si>
    <t>дог. № 11/19
от 06.02.19.
АВК СТРОЙ ООО</t>
  </si>
  <si>
    <t>дог. № 18
от 14.01.19.
АНО ДПО УЦ СЭМС
дог. № 12/19
от 11.02.19.
ЧОУ ДО УЦ Базис
дог. № 67-о23
от 27.02.19.
ЧОУ ДПО ИПБОТСП
Дог. № 116-К/19
от 07.03.19.
ГБУК ЛО ДНТ
Дог. № Ч-19-001727
от 27.05.19.
ЧОУ ДПО и ПП "ЦПР "Аскон"</t>
  </si>
  <si>
    <t>Дог. № 43т/19
от 09.01.19.
Дог. № 015-ПВ-2019
от 21.02.19.
Сварог ООО</t>
  </si>
  <si>
    <t>Дог. № 02-21/ТЮ-2019
от 29.03.19.ГТМ-теплосервис ООО</t>
  </si>
  <si>
    <t>Дог. № 417/1
от 22.05.19.
ПК ПожИнтер ООО</t>
  </si>
  <si>
    <t>Приобретение огнетушителей для ДК Воейково и арендуемых помещений на ул.Чоглокова</t>
  </si>
  <si>
    <t>54</t>
  </si>
  <si>
    <t>Приобретение плана эвакуации для помещений ДК Воейково и арендуемых помещений на ул. Чоглокова</t>
  </si>
  <si>
    <t>Дог. № 4445
от 15.05.19.
ФГУП Почта России
Дог. № 336569036
от 13.05.19.
МЦФЭР-пресс ООО</t>
  </si>
  <si>
    <t>Стройторговля ООО от 18.02.19.
Тов.чек № L38/02230020
от 23.02.19.
ЗАО Планета увлечений
Чек № 508065
от 21.02.19.
Стройторговля  ООО
Чек № 9
от 19.02.19.
Стайл ООО
Чек № 39884
от 02.03.19.
АО УК Старт
Чек № 41
от 23.02.19.
Стайл ООО
ИП Арапетян Э.Ф.
от 05.04.19.
Тов. чек № 27447
от 09.04.19.
Сордон ООО
Всеволожское ПО
от 05.04.19.
Тов.чек № 314/9659
от 05.04.19.
ИП Гайчук И.Р. 
Дог. № 37/19
от 18.04.19.
ЛенМольбертСтрой ООО</t>
  </si>
  <si>
    <t>Дог. № 528/Т
от 29.03.19.
Дог. № 528
от 01.04.19.
ОВО по Всеволожскому р-ну</t>
  </si>
  <si>
    <t>дог. № 218
от 09.01.19.
Колтушский интернет ООО
Дог. № 408562
от 01.04.19.
Росохрана Телеком ООО</t>
  </si>
  <si>
    <t>Дог. 45/19
от 06.05.19
Диалог ООО
Дог. № 46/19
от 06.05.19.
Мастерская Шоу-программ пародии и юмора "Пластилиновая ворона"
Дог. № 51/19
от 06.05.19.
Петровицкий С.Н. ИП
Дог. № 39/19
от 24.04.19.
Светпром ООО
Дог. 56/19
от 28.05.19.
Похочева О.В. ИП</t>
  </si>
  <si>
    <r>
      <t>Товарный чек № 224/5/197/37</t>
    </r>
    <r>
      <rPr>
        <i/>
        <sz val="8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от 01.06.19.
Лента ООО</t>
    </r>
  </si>
  <si>
    <t>Сезонная промывка и опрессовка  системы отопления  (ЛО, Всеволожский р-н п.Воейково д.87 б, здание ДК)</t>
  </si>
  <si>
    <t>ед.поставщик</t>
  </si>
  <si>
    <t>январь 2019</t>
  </si>
  <si>
    <t>март 2019</t>
  </si>
  <si>
    <t>янв-дек 2019</t>
  </si>
  <si>
    <t>февраль 2019</t>
  </si>
  <si>
    <t>октябрь 2019</t>
  </si>
  <si>
    <t>ноябрь 2019</t>
  </si>
  <si>
    <t>апрель 2019</t>
  </si>
  <si>
    <t>июнь-авг 2019</t>
  </si>
  <si>
    <t>май 2019</t>
  </si>
  <si>
    <t>июнь 2019</t>
  </si>
  <si>
    <t>июль 2019</t>
  </si>
  <si>
    <t>сентябрь 2019</t>
  </si>
  <si>
    <t>август 2019</t>
  </si>
  <si>
    <t>декабрь 2019</t>
  </si>
  <si>
    <t>январь 2020</t>
  </si>
  <si>
    <t>январь 2021</t>
  </si>
  <si>
    <t>декабрь 2018</t>
  </si>
  <si>
    <t>май-дек 2019</t>
  </si>
  <si>
    <t>МК № 50/19
от 20.05.19.
Андреева К.С. ИП</t>
  </si>
  <si>
    <t>Постановление № 579 от 14.11.2018 (с изменениями, внесенными постановлениями: №689 от 28.12.2018г, №39 от 29.01.2019г, №122 от 19.02.2019г, №233 от 01.04.2019г)</t>
  </si>
  <si>
    <t>Приложение 4</t>
  </si>
  <si>
    <t>к Постановлению администрации</t>
  </si>
  <si>
    <t>№   от  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</si>
</sst>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43" fontId="9" fillId="0" borderId="0" applyFont="0" applyFill="0" applyBorder="0" applyAlignment="0" applyProtection="0"/>
  </cellStyleXfs>
  <cellXfs count="200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wrapText="1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right" wrapText="1"/>
    </xf>
    <xf numFmtId="49" fontId="2" fillId="0" borderId="9" xfId="0" applyNumberFormat="1" applyFont="1" applyFill="1" applyBorder="1" applyAlignment="1">
      <alignment horizontal="right" wrapText="1"/>
    </xf>
    <xf numFmtId="49" fontId="1" fillId="0" borderId="9" xfId="0" applyNumberFormat="1" applyFont="1" applyFill="1" applyBorder="1" applyAlignment="1">
      <alignment horizontal="right"/>
    </xf>
    <xf numFmtId="4" fontId="2" fillId="0" borderId="4" xfId="3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9" fontId="1" fillId="0" borderId="18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top"/>
    </xf>
    <xf numFmtId="4" fontId="2" fillId="0" borderId="20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21" xfId="0" applyNumberFormat="1" applyFont="1" applyFill="1" applyBorder="1" applyAlignment="1">
      <alignment horizontal="right"/>
    </xf>
    <xf numFmtId="49" fontId="1" fillId="0" borderId="20" xfId="0" applyNumberFormat="1" applyFont="1" applyFill="1" applyBorder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/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0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/>
    <xf numFmtId="0" fontId="13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right" wrapText="1"/>
    </xf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" fillId="0" borderId="9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17" fontId="10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/>
    </xf>
    <xf numFmtId="4" fontId="14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right" wrapText="1"/>
    </xf>
    <xf numFmtId="4" fontId="1" fillId="0" borderId="9" xfId="0" applyNumberFormat="1" applyFont="1" applyFill="1" applyBorder="1"/>
    <xf numFmtId="4" fontId="14" fillId="0" borderId="1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">
    <cellStyle name="TableStyleLight1" xfId="1"/>
    <cellStyle name="Обычный" xfId="0" builtinId="0"/>
    <cellStyle name="Обычный 2" xfId="2"/>
    <cellStyle name="Финансовый" xfId="3" builtinId="3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1"/>
  <sheetViews>
    <sheetView tabSelected="1" zoomScale="80" zoomScaleNormal="80" workbookViewId="0">
      <pane ySplit="15" topLeftCell="A16" activePane="bottomLeft" state="frozen"/>
      <selection activeCell="C11" sqref="C11"/>
      <selection pane="bottomLeft" activeCell="A4" sqref="A4:P4"/>
    </sheetView>
  </sheetViews>
  <sheetFormatPr defaultColWidth="9.109375" defaultRowHeight="13.2" x14ac:dyDescent="0.25"/>
  <cols>
    <col min="1" max="1" width="7.44140625" style="91" customWidth="1"/>
    <col min="2" max="2" width="30.5546875" style="92" customWidth="1"/>
    <col min="3" max="3" width="16.5546875" style="93" customWidth="1"/>
    <col min="4" max="4" width="16.6640625" style="94" customWidth="1"/>
    <col min="5" max="5" width="14.6640625" style="94" customWidth="1"/>
    <col min="6" max="6" width="6.5546875" style="94" hidden="1" customWidth="1"/>
    <col min="7" max="7" width="7.33203125" style="94" hidden="1" customWidth="1"/>
    <col min="8" max="8" width="8" style="94" hidden="1" customWidth="1"/>
    <col min="9" max="9" width="6.88671875" style="94" hidden="1" customWidth="1"/>
    <col min="10" max="10" width="17.44140625" style="91" customWidth="1"/>
    <col min="11" max="11" width="17.88671875" style="95" customWidth="1"/>
    <col min="12" max="12" width="13.6640625" style="96" customWidth="1"/>
    <col min="13" max="13" width="16.44140625" style="95" customWidth="1"/>
    <col min="14" max="14" width="16.33203125" style="96" customWidth="1"/>
    <col min="15" max="15" width="16" style="95" customWidth="1"/>
    <col min="16" max="16" width="14" style="91" customWidth="1"/>
    <col min="17" max="16384" width="9.109375" style="91"/>
  </cols>
  <sheetData>
    <row r="1" spans="1:16" ht="15.6" x14ac:dyDescent="0.3">
      <c r="O1" s="190"/>
      <c r="P1" s="191" t="s">
        <v>720</v>
      </c>
    </row>
    <row r="2" spans="1:16" ht="15.6" x14ac:dyDescent="0.3">
      <c r="O2" s="190"/>
      <c r="P2" s="191" t="s">
        <v>721</v>
      </c>
    </row>
    <row r="3" spans="1:16" ht="15.6" x14ac:dyDescent="0.3">
      <c r="O3" s="190"/>
      <c r="P3" s="191" t="s">
        <v>722</v>
      </c>
    </row>
    <row r="4" spans="1:16" ht="15" customHeight="1" x14ac:dyDescent="0.25">
      <c r="A4" s="195" t="s">
        <v>181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16" ht="15.75" customHeight="1" x14ac:dyDescent="0.25">
      <c r="A5" s="195" t="s">
        <v>182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ht="19.5" customHeight="1" x14ac:dyDescent="0.25">
      <c r="A6" s="196" t="s">
        <v>352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</row>
    <row r="7" spans="1:16" s="97" customFormat="1" ht="19.5" customHeight="1" x14ac:dyDescent="0.2">
      <c r="A7" s="97" t="s">
        <v>192</v>
      </c>
      <c r="B7" s="98"/>
      <c r="C7" s="99"/>
      <c r="D7" s="94"/>
      <c r="E7" s="94"/>
      <c r="F7" s="94"/>
      <c r="G7" s="94"/>
      <c r="H7" s="94"/>
      <c r="I7" s="94"/>
      <c r="K7" s="100"/>
      <c r="L7" s="94"/>
      <c r="M7" s="100"/>
      <c r="N7" s="94"/>
      <c r="O7" s="100"/>
    </row>
    <row r="8" spans="1:16" ht="18" customHeight="1" x14ac:dyDescent="0.25">
      <c r="A8" s="91" t="s">
        <v>353</v>
      </c>
    </row>
    <row r="9" spans="1:16" ht="25.5" customHeight="1" x14ac:dyDescent="0.25">
      <c r="A9" s="91" t="s">
        <v>659</v>
      </c>
    </row>
    <row r="10" spans="1:16" x14ac:dyDescent="0.25">
      <c r="A10" s="197" t="s">
        <v>719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</row>
    <row r="11" spans="1:16" s="97" customFormat="1" ht="10.199999999999999" x14ac:dyDescent="0.2">
      <c r="A11" s="97" t="s">
        <v>183</v>
      </c>
      <c r="B11" s="98"/>
      <c r="C11" s="99"/>
      <c r="D11" s="94"/>
      <c r="E11" s="94"/>
      <c r="F11" s="94"/>
      <c r="G11" s="94"/>
      <c r="H11" s="94"/>
      <c r="I11" s="94"/>
      <c r="K11" s="100"/>
      <c r="L11" s="94"/>
      <c r="M11" s="100"/>
      <c r="N11" s="94"/>
      <c r="O11" s="100"/>
    </row>
    <row r="13" spans="1:16" ht="25.8" customHeight="1" x14ac:dyDescent="0.25">
      <c r="A13" s="198" t="s">
        <v>184</v>
      </c>
      <c r="B13" s="198" t="s">
        <v>193</v>
      </c>
      <c r="C13" s="198" t="s">
        <v>185</v>
      </c>
      <c r="D13" s="198"/>
      <c r="E13" s="198"/>
      <c r="F13" s="101"/>
      <c r="G13" s="101"/>
      <c r="H13" s="192" t="s">
        <v>196</v>
      </c>
      <c r="I13" s="193"/>
      <c r="J13" s="193"/>
      <c r="K13" s="193"/>
      <c r="L13" s="193"/>
      <c r="M13" s="193"/>
      <c r="N13" s="193"/>
      <c r="O13" s="194"/>
      <c r="P13" s="198" t="s">
        <v>197</v>
      </c>
    </row>
    <row r="14" spans="1:16" ht="30" customHeight="1" x14ac:dyDescent="0.25">
      <c r="A14" s="198"/>
      <c r="B14" s="198"/>
      <c r="C14" s="199" t="s">
        <v>186</v>
      </c>
      <c r="D14" s="199" t="s">
        <v>187</v>
      </c>
      <c r="E14" s="198" t="s">
        <v>195</v>
      </c>
      <c r="F14" s="192" t="s">
        <v>289</v>
      </c>
      <c r="G14" s="193"/>
      <c r="H14" s="193"/>
      <c r="I14" s="194"/>
      <c r="J14" s="198" t="s">
        <v>188</v>
      </c>
      <c r="K14" s="198"/>
      <c r="L14" s="198" t="s">
        <v>189</v>
      </c>
      <c r="M14" s="198"/>
      <c r="N14" s="198" t="s">
        <v>194</v>
      </c>
      <c r="O14" s="198"/>
      <c r="P14" s="198"/>
    </row>
    <row r="15" spans="1:16" ht="113.25" customHeight="1" x14ac:dyDescent="0.25">
      <c r="A15" s="198"/>
      <c r="B15" s="198"/>
      <c r="C15" s="199"/>
      <c r="D15" s="199"/>
      <c r="E15" s="198"/>
      <c r="F15" s="102" t="s">
        <v>584</v>
      </c>
      <c r="G15" s="102" t="s">
        <v>579</v>
      </c>
      <c r="H15" s="103" t="s">
        <v>580</v>
      </c>
      <c r="I15" s="103" t="s">
        <v>581</v>
      </c>
      <c r="J15" s="102" t="s">
        <v>190</v>
      </c>
      <c r="K15" s="104" t="s">
        <v>191</v>
      </c>
      <c r="L15" s="102" t="s">
        <v>190</v>
      </c>
      <c r="M15" s="104" t="s">
        <v>191</v>
      </c>
      <c r="N15" s="102" t="s">
        <v>190</v>
      </c>
      <c r="O15" s="104" t="s">
        <v>191</v>
      </c>
      <c r="P15" s="198"/>
    </row>
    <row r="16" spans="1:16" ht="45.6" x14ac:dyDescent="0.25">
      <c r="A16" s="1" t="s">
        <v>262</v>
      </c>
      <c r="B16" s="3" t="s">
        <v>9</v>
      </c>
      <c r="C16" s="105"/>
      <c r="D16" s="105"/>
      <c r="E16" s="105"/>
      <c r="F16" s="105"/>
      <c r="G16" s="105"/>
      <c r="H16" s="105"/>
      <c r="I16" s="105"/>
      <c r="J16" s="102"/>
      <c r="K16" s="104"/>
      <c r="L16" s="102"/>
      <c r="M16" s="104"/>
      <c r="N16" s="102"/>
      <c r="O16" s="104"/>
      <c r="P16" s="106"/>
    </row>
    <row r="17" spans="1:16" s="111" customFormat="1" ht="39.6" x14ac:dyDescent="0.25">
      <c r="A17" s="38">
        <v>1</v>
      </c>
      <c r="B17" s="5" t="s">
        <v>200</v>
      </c>
      <c r="C17" s="107"/>
      <c r="D17" s="107"/>
      <c r="E17" s="107"/>
      <c r="F17" s="107">
        <v>61</v>
      </c>
      <c r="G17" s="107"/>
      <c r="H17" s="107"/>
      <c r="I17" s="107"/>
      <c r="J17" s="108"/>
      <c r="K17" s="14">
        <f>SUM(K18:K26)</f>
        <v>140261</v>
      </c>
      <c r="L17" s="109"/>
      <c r="M17" s="175"/>
      <c r="N17" s="109"/>
      <c r="O17" s="175"/>
      <c r="P17" s="110"/>
    </row>
    <row r="18" spans="1:16" ht="30.6" x14ac:dyDescent="0.25">
      <c r="A18" s="39" t="s">
        <v>10</v>
      </c>
      <c r="B18" s="6" t="s">
        <v>201</v>
      </c>
      <c r="C18" s="105" t="s">
        <v>699</v>
      </c>
      <c r="D18" s="112" t="s">
        <v>700</v>
      </c>
      <c r="E18" s="105" t="s">
        <v>585</v>
      </c>
      <c r="F18" s="107">
        <v>61</v>
      </c>
      <c r="G18" s="105">
        <v>244</v>
      </c>
      <c r="H18" s="44">
        <v>349</v>
      </c>
      <c r="I18" s="44"/>
      <c r="J18" s="102"/>
      <c r="K18" s="12">
        <f>((150*150)+(150*50))*1.06</f>
        <v>31800</v>
      </c>
      <c r="L18" s="102"/>
      <c r="M18" s="104">
        <v>31800</v>
      </c>
      <c r="N18" s="102"/>
      <c r="O18" s="104">
        <f>19600+12200</f>
        <v>31800</v>
      </c>
      <c r="P18" s="106"/>
    </row>
    <row r="19" spans="1:16" ht="37.5" customHeight="1" x14ac:dyDescent="0.25">
      <c r="A19" s="39" t="s">
        <v>202</v>
      </c>
      <c r="B19" s="6" t="s">
        <v>12</v>
      </c>
      <c r="C19" s="105" t="s">
        <v>699</v>
      </c>
      <c r="D19" s="112" t="s">
        <v>700</v>
      </c>
      <c r="E19" s="105" t="s">
        <v>614</v>
      </c>
      <c r="F19" s="107">
        <v>61</v>
      </c>
      <c r="G19" s="105">
        <v>244</v>
      </c>
      <c r="H19" s="44">
        <v>342</v>
      </c>
      <c r="I19" s="44"/>
      <c r="J19" s="102"/>
      <c r="K19" s="12">
        <f>((70*50)+(25*50))*1.06</f>
        <v>5035</v>
      </c>
      <c r="L19" s="102"/>
      <c r="M19" s="104">
        <v>5035</v>
      </c>
      <c r="N19" s="102"/>
      <c r="O19" s="104">
        <v>5035</v>
      </c>
      <c r="P19" s="106"/>
    </row>
    <row r="20" spans="1:16" x14ac:dyDescent="0.25">
      <c r="A20" s="39" t="s">
        <v>203</v>
      </c>
      <c r="B20" s="6" t="s">
        <v>204</v>
      </c>
      <c r="C20" s="105"/>
      <c r="D20" s="113"/>
      <c r="E20" s="105"/>
      <c r="F20" s="107">
        <v>61</v>
      </c>
      <c r="G20" s="105">
        <v>244</v>
      </c>
      <c r="H20" s="44">
        <v>226</v>
      </c>
      <c r="I20" s="44"/>
      <c r="J20" s="114"/>
      <c r="K20" s="12"/>
      <c r="L20" s="115"/>
      <c r="M20" s="176"/>
      <c r="N20" s="115"/>
      <c r="O20" s="152"/>
      <c r="P20" s="114"/>
    </row>
    <row r="21" spans="1:16" ht="30.6" x14ac:dyDescent="0.25">
      <c r="A21" s="39" t="s">
        <v>205</v>
      </c>
      <c r="B21" s="6" t="s">
        <v>14</v>
      </c>
      <c r="C21" s="105" t="s">
        <v>699</v>
      </c>
      <c r="D21" s="112" t="s">
        <v>700</v>
      </c>
      <c r="E21" s="105" t="s">
        <v>615</v>
      </c>
      <c r="F21" s="107">
        <v>61</v>
      </c>
      <c r="G21" s="105">
        <v>244</v>
      </c>
      <c r="H21" s="44">
        <v>222</v>
      </c>
      <c r="I21" s="44"/>
      <c r="J21" s="114"/>
      <c r="K21" s="12">
        <f>2000*5</f>
        <v>10000</v>
      </c>
      <c r="L21" s="115"/>
      <c r="M21" s="152">
        <v>10000</v>
      </c>
      <c r="N21" s="115"/>
      <c r="O21" s="152">
        <v>10000</v>
      </c>
      <c r="P21" s="114"/>
    </row>
    <row r="22" spans="1:16" ht="61.2" x14ac:dyDescent="0.25">
      <c r="A22" s="39" t="s">
        <v>206</v>
      </c>
      <c r="B22" s="6" t="s">
        <v>16</v>
      </c>
      <c r="C22" s="105" t="s">
        <v>699</v>
      </c>
      <c r="D22" s="112" t="s">
        <v>700</v>
      </c>
      <c r="E22" s="105" t="s">
        <v>620</v>
      </c>
      <c r="F22" s="107">
        <v>61</v>
      </c>
      <c r="G22" s="105">
        <v>244</v>
      </c>
      <c r="H22" s="44">
        <v>342</v>
      </c>
      <c r="I22" s="44"/>
      <c r="J22" s="114"/>
      <c r="K22" s="12">
        <f>(130*500)*1.06</f>
        <v>68900</v>
      </c>
      <c r="L22" s="115"/>
      <c r="M22" s="152">
        <f>65100+1120</f>
        <v>66220</v>
      </c>
      <c r="N22" s="115"/>
      <c r="O22" s="152">
        <f>M22</f>
        <v>66220</v>
      </c>
      <c r="P22" s="114"/>
    </row>
    <row r="23" spans="1:16" x14ac:dyDescent="0.25">
      <c r="A23" s="39" t="s">
        <v>207</v>
      </c>
      <c r="B23" s="6" t="s">
        <v>208</v>
      </c>
      <c r="C23" s="105" t="s">
        <v>699</v>
      </c>
      <c r="D23" s="113" t="s">
        <v>700</v>
      </c>
      <c r="E23" s="116"/>
      <c r="F23" s="107">
        <v>61</v>
      </c>
      <c r="G23" s="105">
        <v>244</v>
      </c>
      <c r="H23" s="44">
        <v>349</v>
      </c>
      <c r="I23" s="44"/>
      <c r="J23" s="117"/>
      <c r="K23" s="12">
        <v>500</v>
      </c>
      <c r="L23" s="118"/>
      <c r="M23" s="27"/>
      <c r="N23" s="118"/>
      <c r="O23" s="27"/>
      <c r="P23" s="117"/>
    </row>
    <row r="24" spans="1:16" x14ac:dyDescent="0.25">
      <c r="A24" s="39" t="s">
        <v>209</v>
      </c>
      <c r="B24" s="6" t="s">
        <v>199</v>
      </c>
      <c r="C24" s="105"/>
      <c r="D24" s="113"/>
      <c r="E24" s="116"/>
      <c r="F24" s="107">
        <v>61</v>
      </c>
      <c r="G24" s="105">
        <v>244</v>
      </c>
      <c r="H24" s="44">
        <v>226</v>
      </c>
      <c r="I24" s="44"/>
      <c r="J24" s="117"/>
      <c r="K24" s="12">
        <v>0</v>
      </c>
      <c r="L24" s="118"/>
      <c r="M24" s="27"/>
      <c r="N24" s="118"/>
      <c r="O24" s="27"/>
      <c r="P24" s="117"/>
    </row>
    <row r="25" spans="1:16" ht="26.4" x14ac:dyDescent="0.25">
      <c r="A25" s="39" t="s">
        <v>210</v>
      </c>
      <c r="B25" s="6" t="s">
        <v>211</v>
      </c>
      <c r="C25" s="105" t="s">
        <v>699</v>
      </c>
      <c r="D25" s="113" t="s">
        <v>700</v>
      </c>
      <c r="E25" s="105"/>
      <c r="F25" s="107">
        <v>61</v>
      </c>
      <c r="G25" s="105">
        <v>244</v>
      </c>
      <c r="H25" s="44">
        <v>349</v>
      </c>
      <c r="I25" s="44"/>
      <c r="J25" s="114"/>
      <c r="K25" s="12">
        <f>(10*30)*1.06</f>
        <v>318</v>
      </c>
      <c r="L25" s="115"/>
      <c r="M25" s="152"/>
      <c r="N25" s="115"/>
      <c r="O25" s="152"/>
      <c r="P25" s="114"/>
    </row>
    <row r="26" spans="1:16" ht="40.799999999999997" x14ac:dyDescent="0.25">
      <c r="A26" s="39" t="s">
        <v>354</v>
      </c>
      <c r="B26" s="6" t="s">
        <v>355</v>
      </c>
      <c r="C26" s="105" t="s">
        <v>699</v>
      </c>
      <c r="D26" s="113" t="s">
        <v>700</v>
      </c>
      <c r="E26" s="105" t="s">
        <v>589</v>
      </c>
      <c r="F26" s="107">
        <v>61</v>
      </c>
      <c r="G26" s="105">
        <v>244</v>
      </c>
      <c r="H26" s="44">
        <v>349</v>
      </c>
      <c r="I26" s="44"/>
      <c r="J26" s="120"/>
      <c r="K26" s="12">
        <v>23708</v>
      </c>
      <c r="L26" s="121"/>
      <c r="M26" s="177">
        <v>23708</v>
      </c>
      <c r="N26" s="122"/>
      <c r="O26" s="177">
        <v>23708</v>
      </c>
      <c r="P26" s="117"/>
    </row>
    <row r="27" spans="1:16" ht="39.6" x14ac:dyDescent="0.25">
      <c r="A27" s="38">
        <v>2</v>
      </c>
      <c r="B27" s="5" t="s">
        <v>123</v>
      </c>
      <c r="C27" s="105"/>
      <c r="D27" s="113"/>
      <c r="E27" s="105"/>
      <c r="F27" s="107">
        <v>61</v>
      </c>
      <c r="G27" s="105"/>
      <c r="H27" s="44"/>
      <c r="I27" s="44"/>
      <c r="J27" s="117"/>
      <c r="K27" s="11">
        <f>K28</f>
        <v>20000</v>
      </c>
      <c r="L27" s="118"/>
      <c r="M27" s="152"/>
      <c r="N27" s="118"/>
      <c r="O27" s="75"/>
      <c r="P27" s="117"/>
    </row>
    <row r="28" spans="1:16" ht="30.6" x14ac:dyDescent="0.25">
      <c r="A28" s="39" t="s">
        <v>18</v>
      </c>
      <c r="B28" s="6" t="s">
        <v>14</v>
      </c>
      <c r="C28" s="105" t="s">
        <v>699</v>
      </c>
      <c r="D28" s="112" t="s">
        <v>700</v>
      </c>
      <c r="E28" s="105" t="s">
        <v>615</v>
      </c>
      <c r="F28" s="107">
        <v>61</v>
      </c>
      <c r="G28" s="105">
        <v>244</v>
      </c>
      <c r="H28" s="44">
        <v>222</v>
      </c>
      <c r="I28" s="44"/>
      <c r="J28" s="114"/>
      <c r="K28" s="12">
        <f>2000*10</f>
        <v>20000</v>
      </c>
      <c r="L28" s="115"/>
      <c r="M28" s="152">
        <v>20000</v>
      </c>
      <c r="N28" s="115"/>
      <c r="O28" s="152">
        <v>20000</v>
      </c>
      <c r="P28" s="114"/>
    </row>
    <row r="29" spans="1:16" x14ac:dyDescent="0.25">
      <c r="A29" s="38" t="s">
        <v>19</v>
      </c>
      <c r="B29" s="5" t="s">
        <v>212</v>
      </c>
      <c r="C29" s="105"/>
      <c r="D29" s="113"/>
      <c r="E29" s="105"/>
      <c r="F29" s="107">
        <v>61</v>
      </c>
      <c r="G29" s="105"/>
      <c r="H29" s="44"/>
      <c r="I29" s="44"/>
      <c r="J29" s="114"/>
      <c r="K29" s="11">
        <f>K30</f>
        <v>28000</v>
      </c>
      <c r="L29" s="115"/>
      <c r="M29" s="152"/>
      <c r="N29" s="115"/>
      <c r="O29" s="152"/>
      <c r="P29" s="114"/>
    </row>
    <row r="30" spans="1:16" ht="30.6" x14ac:dyDescent="0.25">
      <c r="A30" s="39" t="s">
        <v>4</v>
      </c>
      <c r="B30" s="6" t="s">
        <v>20</v>
      </c>
      <c r="C30" s="105" t="s">
        <v>699</v>
      </c>
      <c r="D30" s="113" t="s">
        <v>701</v>
      </c>
      <c r="E30" s="105" t="s">
        <v>622</v>
      </c>
      <c r="F30" s="105">
        <v>61</v>
      </c>
      <c r="G30" s="123">
        <v>244</v>
      </c>
      <c r="H30" s="44">
        <v>226</v>
      </c>
      <c r="I30" s="44"/>
      <c r="J30" s="114"/>
      <c r="K30" s="12">
        <v>28000</v>
      </c>
      <c r="L30" s="115"/>
      <c r="M30" s="152">
        <v>28000</v>
      </c>
      <c r="N30" s="115"/>
      <c r="O30" s="152">
        <f>M30</f>
        <v>28000</v>
      </c>
      <c r="P30" s="114"/>
    </row>
    <row r="31" spans="1:16" ht="66" x14ac:dyDescent="0.25">
      <c r="A31" s="38">
        <v>4</v>
      </c>
      <c r="B31" s="5" t="s">
        <v>213</v>
      </c>
      <c r="C31" s="105"/>
      <c r="D31" s="113"/>
      <c r="E31" s="105"/>
      <c r="F31" s="107">
        <v>61</v>
      </c>
      <c r="G31" s="105"/>
      <c r="H31" s="44"/>
      <c r="I31" s="44"/>
      <c r="J31" s="114"/>
      <c r="K31" s="11">
        <v>0</v>
      </c>
      <c r="L31" s="115"/>
      <c r="M31" s="152"/>
      <c r="N31" s="115"/>
      <c r="O31" s="152"/>
      <c r="P31" s="114"/>
    </row>
    <row r="32" spans="1:16" x14ac:dyDescent="0.25">
      <c r="A32" s="39" t="s">
        <v>5</v>
      </c>
      <c r="B32" s="6" t="s">
        <v>41</v>
      </c>
      <c r="C32" s="105" t="s">
        <v>699</v>
      </c>
      <c r="D32" s="112" t="s">
        <v>700</v>
      </c>
      <c r="E32" s="123"/>
      <c r="F32" s="105">
        <v>61</v>
      </c>
      <c r="G32" s="123">
        <v>244</v>
      </c>
      <c r="H32" s="44">
        <v>226</v>
      </c>
      <c r="I32" s="44"/>
      <c r="J32" s="114"/>
      <c r="K32" s="12">
        <v>0</v>
      </c>
      <c r="L32" s="115"/>
      <c r="M32" s="152"/>
      <c r="N32" s="115"/>
      <c r="O32" s="152"/>
      <c r="P32" s="114"/>
    </row>
    <row r="33" spans="1:16" ht="39.6" x14ac:dyDescent="0.25">
      <c r="A33" s="38">
        <v>5</v>
      </c>
      <c r="B33" s="5" t="s">
        <v>214</v>
      </c>
      <c r="C33" s="105"/>
      <c r="D33" s="113"/>
      <c r="E33" s="105"/>
      <c r="F33" s="107">
        <v>61</v>
      </c>
      <c r="G33" s="105"/>
      <c r="H33" s="44"/>
      <c r="I33" s="44"/>
      <c r="J33" s="114"/>
      <c r="K33" s="11">
        <f>K34</f>
        <v>19610</v>
      </c>
      <c r="L33" s="115"/>
      <c r="M33" s="152"/>
      <c r="N33" s="115"/>
      <c r="O33" s="152"/>
      <c r="P33" s="114"/>
    </row>
    <row r="34" spans="1:16" ht="30.6" x14ac:dyDescent="0.25">
      <c r="A34" s="39" t="s">
        <v>6</v>
      </c>
      <c r="B34" s="6" t="s">
        <v>14</v>
      </c>
      <c r="C34" s="105" t="s">
        <v>699</v>
      </c>
      <c r="D34" s="112" t="s">
        <v>700</v>
      </c>
      <c r="E34" s="105" t="s">
        <v>615</v>
      </c>
      <c r="F34" s="107">
        <v>61</v>
      </c>
      <c r="G34" s="105">
        <v>244</v>
      </c>
      <c r="H34" s="44">
        <v>222</v>
      </c>
      <c r="I34" s="44"/>
      <c r="J34" s="114"/>
      <c r="K34" s="12">
        <f>(1850*10)*1.06</f>
        <v>19610</v>
      </c>
      <c r="L34" s="115"/>
      <c r="M34" s="152">
        <v>17000</v>
      </c>
      <c r="N34" s="115"/>
      <c r="O34" s="152">
        <v>17000</v>
      </c>
      <c r="P34" s="114"/>
    </row>
    <row r="35" spans="1:16" ht="39.6" x14ac:dyDescent="0.25">
      <c r="A35" s="40" t="s">
        <v>3</v>
      </c>
      <c r="B35" s="5" t="s">
        <v>113</v>
      </c>
      <c r="C35" s="105"/>
      <c r="D35" s="113"/>
      <c r="E35" s="123"/>
      <c r="F35" s="107">
        <v>61</v>
      </c>
      <c r="G35" s="123"/>
      <c r="H35" s="44"/>
      <c r="I35" s="44"/>
      <c r="J35" s="114"/>
      <c r="K35" s="11">
        <f>K36</f>
        <v>42400</v>
      </c>
      <c r="L35" s="115"/>
      <c r="M35" s="152"/>
      <c r="N35" s="115"/>
      <c r="O35" s="152"/>
      <c r="P35" s="114"/>
    </row>
    <row r="36" spans="1:16" ht="81.599999999999994" x14ac:dyDescent="0.25">
      <c r="A36" s="39" t="s">
        <v>24</v>
      </c>
      <c r="B36" s="6" t="s">
        <v>21</v>
      </c>
      <c r="C36" s="105" t="s">
        <v>699</v>
      </c>
      <c r="D36" s="113" t="s">
        <v>702</v>
      </c>
      <c r="E36" s="105" t="s">
        <v>621</v>
      </c>
      <c r="F36" s="107">
        <v>61</v>
      </c>
      <c r="G36" s="105">
        <v>244</v>
      </c>
      <c r="H36" s="44">
        <v>226</v>
      </c>
      <c r="I36" s="44"/>
      <c r="J36" s="114"/>
      <c r="K36" s="12">
        <v>42400</v>
      </c>
      <c r="L36" s="115"/>
      <c r="M36" s="152">
        <f>7000+12000</f>
        <v>19000</v>
      </c>
      <c r="N36" s="115"/>
      <c r="O36" s="152">
        <f>M36</f>
        <v>19000</v>
      </c>
      <c r="P36" s="114"/>
    </row>
    <row r="37" spans="1:16" ht="39.6" x14ac:dyDescent="0.25">
      <c r="A37" s="38">
        <v>7</v>
      </c>
      <c r="B37" s="5" t="s">
        <v>215</v>
      </c>
      <c r="C37" s="105"/>
      <c r="D37" s="113"/>
      <c r="E37" s="105"/>
      <c r="F37" s="107">
        <v>61</v>
      </c>
      <c r="G37" s="105"/>
      <c r="H37" s="44"/>
      <c r="I37" s="44"/>
      <c r="J37" s="114"/>
      <c r="K37" s="11">
        <f>SUM(K38:K43)</f>
        <v>122631</v>
      </c>
      <c r="L37" s="115"/>
      <c r="M37" s="152"/>
      <c r="N37" s="115"/>
      <c r="O37" s="152"/>
      <c r="P37" s="114"/>
    </row>
    <row r="38" spans="1:16" ht="30.6" x14ac:dyDescent="0.25">
      <c r="A38" s="39" t="s">
        <v>216</v>
      </c>
      <c r="B38" s="6" t="s">
        <v>204</v>
      </c>
      <c r="C38" s="105" t="s">
        <v>699</v>
      </c>
      <c r="D38" s="113" t="s">
        <v>703</v>
      </c>
      <c r="E38" s="105" t="s">
        <v>657</v>
      </c>
      <c r="F38" s="107">
        <v>61</v>
      </c>
      <c r="G38" s="105">
        <v>244</v>
      </c>
      <c r="H38" s="44">
        <v>226</v>
      </c>
      <c r="I38" s="44"/>
      <c r="J38" s="114"/>
      <c r="K38" s="12">
        <v>6360</v>
      </c>
      <c r="L38" s="115"/>
      <c r="M38" s="152">
        <v>6000</v>
      </c>
      <c r="N38" s="115"/>
      <c r="O38" s="152">
        <v>6000</v>
      </c>
      <c r="P38" s="114"/>
    </row>
    <row r="39" spans="1:16" ht="26.4" x14ac:dyDescent="0.25">
      <c r="A39" s="39" t="s">
        <v>217</v>
      </c>
      <c r="B39" s="6" t="s">
        <v>211</v>
      </c>
      <c r="C39" s="105" t="s">
        <v>699</v>
      </c>
      <c r="D39" s="113" t="s">
        <v>703</v>
      </c>
      <c r="E39" s="105" t="s">
        <v>616</v>
      </c>
      <c r="F39" s="107">
        <v>61</v>
      </c>
      <c r="G39" s="105">
        <v>244</v>
      </c>
      <c r="H39" s="44">
        <v>349</v>
      </c>
      <c r="I39" s="44"/>
      <c r="J39" s="114"/>
      <c r="K39" s="12">
        <v>11236</v>
      </c>
      <c r="L39" s="115"/>
      <c r="M39" s="152">
        <f>O39</f>
        <v>8686</v>
      </c>
      <c r="N39" s="115"/>
      <c r="O39" s="152">
        <v>8686</v>
      </c>
      <c r="P39" s="114"/>
    </row>
    <row r="40" spans="1:16" ht="26.4" x14ac:dyDescent="0.25">
      <c r="A40" s="39" t="s">
        <v>218</v>
      </c>
      <c r="B40" s="6" t="s">
        <v>211</v>
      </c>
      <c r="C40" s="105"/>
      <c r="D40" s="113"/>
      <c r="E40" s="123"/>
      <c r="F40" s="107">
        <v>61</v>
      </c>
      <c r="G40" s="105">
        <v>244</v>
      </c>
      <c r="H40" s="44">
        <v>349</v>
      </c>
      <c r="I40" s="44"/>
      <c r="J40" s="114"/>
      <c r="K40" s="12">
        <v>0</v>
      </c>
      <c r="L40" s="115"/>
      <c r="M40" s="152"/>
      <c r="N40" s="115"/>
      <c r="O40" s="152"/>
      <c r="P40" s="114"/>
    </row>
    <row r="41" spans="1:16" x14ac:dyDescent="0.25">
      <c r="A41" s="39" t="s">
        <v>356</v>
      </c>
      <c r="B41" s="6" t="s">
        <v>199</v>
      </c>
      <c r="C41" s="105"/>
      <c r="D41" s="112"/>
      <c r="E41" s="105"/>
      <c r="F41" s="107">
        <v>61</v>
      </c>
      <c r="G41" s="105">
        <v>244</v>
      </c>
      <c r="H41" s="44">
        <v>226</v>
      </c>
      <c r="I41" s="44"/>
      <c r="J41" s="114"/>
      <c r="K41" s="12">
        <v>0</v>
      </c>
      <c r="L41" s="115"/>
      <c r="M41" s="152"/>
      <c r="N41" s="115"/>
      <c r="O41" s="152"/>
      <c r="P41" s="114"/>
    </row>
    <row r="42" spans="1:16" ht="61.2" x14ac:dyDescent="0.25">
      <c r="A42" s="39" t="s">
        <v>357</v>
      </c>
      <c r="B42" s="6" t="s">
        <v>12</v>
      </c>
      <c r="C42" s="105" t="s">
        <v>699</v>
      </c>
      <c r="D42" s="113" t="s">
        <v>703</v>
      </c>
      <c r="E42" s="105" t="s">
        <v>673</v>
      </c>
      <c r="F42" s="107">
        <v>61</v>
      </c>
      <c r="G42" s="105">
        <v>244</v>
      </c>
      <c r="H42" s="44">
        <v>342</v>
      </c>
      <c r="I42" s="44"/>
      <c r="J42" s="114"/>
      <c r="K42" s="12">
        <f>((70*50)+(25*50))*1.06</f>
        <v>5035</v>
      </c>
      <c r="L42" s="115"/>
      <c r="M42" s="152">
        <f>1000.9+4030.8</f>
        <v>5031.7</v>
      </c>
      <c r="N42" s="115"/>
      <c r="O42" s="152">
        <f>M42</f>
        <v>5031.7</v>
      </c>
      <c r="P42" s="114"/>
    </row>
    <row r="43" spans="1:16" ht="48" customHeight="1" x14ac:dyDescent="0.25">
      <c r="A43" s="39" t="s">
        <v>358</v>
      </c>
      <c r="B43" s="6" t="s">
        <v>359</v>
      </c>
      <c r="C43" s="105" t="s">
        <v>699</v>
      </c>
      <c r="D43" s="113" t="s">
        <v>703</v>
      </c>
      <c r="E43" s="105" t="s">
        <v>613</v>
      </c>
      <c r="F43" s="107">
        <v>61</v>
      </c>
      <c r="G43" s="105">
        <v>244</v>
      </c>
      <c r="H43" s="44">
        <v>226</v>
      </c>
      <c r="I43" s="44"/>
      <c r="J43" s="114"/>
      <c r="K43" s="12">
        <v>100000</v>
      </c>
      <c r="L43" s="115"/>
      <c r="M43" s="152">
        <f>O43</f>
        <v>98799</v>
      </c>
      <c r="N43" s="115"/>
      <c r="O43" s="152">
        <v>98799</v>
      </c>
      <c r="P43" s="114"/>
    </row>
    <row r="44" spans="1:16" ht="42.75" customHeight="1" x14ac:dyDescent="0.25">
      <c r="A44" s="38">
        <v>8</v>
      </c>
      <c r="B44" s="5" t="s">
        <v>220</v>
      </c>
      <c r="C44" s="105"/>
      <c r="D44" s="113"/>
      <c r="E44" s="105"/>
      <c r="F44" s="107">
        <v>61</v>
      </c>
      <c r="G44" s="105"/>
      <c r="H44" s="44"/>
      <c r="I44" s="44"/>
      <c r="J44" s="114"/>
      <c r="K44" s="11">
        <f>K45</f>
        <v>31800</v>
      </c>
      <c r="L44" s="115"/>
      <c r="M44" s="152"/>
      <c r="N44" s="115"/>
      <c r="O44" s="152"/>
      <c r="P44" s="114"/>
    </row>
    <row r="45" spans="1:16" x14ac:dyDescent="0.25">
      <c r="A45" s="39" t="s">
        <v>7</v>
      </c>
      <c r="B45" s="6" t="s">
        <v>21</v>
      </c>
      <c r="C45" s="105" t="s">
        <v>699</v>
      </c>
      <c r="D45" s="113" t="s">
        <v>702</v>
      </c>
      <c r="E45" s="123"/>
      <c r="F45" s="107">
        <v>61</v>
      </c>
      <c r="G45" s="123">
        <v>244</v>
      </c>
      <c r="H45" s="44">
        <v>226</v>
      </c>
      <c r="I45" s="44"/>
      <c r="J45" s="114"/>
      <c r="K45" s="12">
        <v>31800</v>
      </c>
      <c r="L45" s="115"/>
      <c r="M45" s="152"/>
      <c r="N45" s="115"/>
      <c r="O45" s="152"/>
      <c r="P45" s="114"/>
    </row>
    <row r="46" spans="1:16" ht="52.8" x14ac:dyDescent="0.25">
      <c r="A46" s="38">
        <v>9</v>
      </c>
      <c r="B46" s="5" t="s">
        <v>221</v>
      </c>
      <c r="C46" s="105"/>
      <c r="D46" s="113"/>
      <c r="E46" s="123"/>
      <c r="F46" s="107">
        <v>61</v>
      </c>
      <c r="G46" s="123"/>
      <c r="H46" s="44"/>
      <c r="I46" s="44"/>
      <c r="J46" s="114"/>
      <c r="K46" s="11">
        <f>K47</f>
        <v>7950</v>
      </c>
      <c r="L46" s="115"/>
      <c r="M46" s="152"/>
      <c r="N46" s="115"/>
      <c r="O46" s="152"/>
      <c r="P46" s="114"/>
    </row>
    <row r="47" spans="1:16" x14ac:dyDescent="0.25">
      <c r="A47" s="39" t="s">
        <v>29</v>
      </c>
      <c r="B47" s="6" t="s">
        <v>41</v>
      </c>
      <c r="C47" s="105" t="s">
        <v>699</v>
      </c>
      <c r="D47" s="113" t="s">
        <v>700</v>
      </c>
      <c r="E47" s="105"/>
      <c r="F47" s="107">
        <v>61</v>
      </c>
      <c r="G47" s="105">
        <v>244</v>
      </c>
      <c r="H47" s="44">
        <v>226</v>
      </c>
      <c r="I47" s="44"/>
      <c r="J47" s="114"/>
      <c r="K47" s="12">
        <f>(30*250)*1.06</f>
        <v>7950</v>
      </c>
      <c r="L47" s="115"/>
      <c r="M47" s="152"/>
      <c r="N47" s="115"/>
      <c r="O47" s="152"/>
      <c r="P47" s="114"/>
    </row>
    <row r="48" spans="1:16" ht="79.2" x14ac:dyDescent="0.25">
      <c r="A48" s="38">
        <v>10</v>
      </c>
      <c r="B48" s="5" t="s">
        <v>222</v>
      </c>
      <c r="C48" s="105"/>
      <c r="D48" s="113"/>
      <c r="E48" s="123"/>
      <c r="F48" s="107">
        <v>61</v>
      </c>
      <c r="G48" s="123"/>
      <c r="H48" s="44"/>
      <c r="I48" s="44"/>
      <c r="J48" s="114"/>
      <c r="K48" s="11">
        <f>K49</f>
        <v>6360</v>
      </c>
      <c r="L48" s="115"/>
      <c r="M48" s="152"/>
      <c r="N48" s="115"/>
      <c r="O48" s="152"/>
      <c r="P48" s="114"/>
    </row>
    <row r="49" spans="1:16" x14ac:dyDescent="0.25">
      <c r="A49" s="39" t="s">
        <v>97</v>
      </c>
      <c r="B49" s="6" t="s">
        <v>27</v>
      </c>
      <c r="C49" s="105" t="s">
        <v>699</v>
      </c>
      <c r="D49" s="113" t="s">
        <v>701</v>
      </c>
      <c r="E49" s="105"/>
      <c r="F49" s="107">
        <v>61</v>
      </c>
      <c r="G49" s="105">
        <v>244</v>
      </c>
      <c r="H49" s="44">
        <v>349</v>
      </c>
      <c r="I49" s="44"/>
      <c r="J49" s="114"/>
      <c r="K49" s="12">
        <f>(30*200)*1.06</f>
        <v>6360</v>
      </c>
      <c r="L49" s="115"/>
      <c r="M49" s="152"/>
      <c r="N49" s="115"/>
      <c r="O49" s="152"/>
      <c r="P49" s="114"/>
    </row>
    <row r="50" spans="1:16" ht="52.8" x14ac:dyDescent="0.25">
      <c r="A50" s="38">
        <v>11</v>
      </c>
      <c r="B50" s="5" t="s">
        <v>223</v>
      </c>
      <c r="C50" s="105"/>
      <c r="D50" s="113"/>
      <c r="E50" s="105"/>
      <c r="F50" s="107">
        <v>61</v>
      </c>
      <c r="G50" s="105"/>
      <c r="H50" s="44"/>
      <c r="I50" s="44"/>
      <c r="J50" s="114"/>
      <c r="K50" s="11">
        <f>K51</f>
        <v>226000</v>
      </c>
      <c r="L50" s="115"/>
      <c r="M50" s="152"/>
      <c r="N50" s="115"/>
      <c r="O50" s="152"/>
      <c r="P50" s="114"/>
    </row>
    <row r="51" spans="1:16" ht="39.6" x14ac:dyDescent="0.25">
      <c r="A51" s="39" t="s">
        <v>169</v>
      </c>
      <c r="B51" s="6" t="s">
        <v>115</v>
      </c>
      <c r="C51" s="105"/>
      <c r="D51" s="113"/>
      <c r="E51" s="123"/>
      <c r="F51" s="107">
        <v>61</v>
      </c>
      <c r="G51" s="123">
        <v>244</v>
      </c>
      <c r="H51" s="44"/>
      <c r="I51" s="44"/>
      <c r="J51" s="114"/>
      <c r="K51" s="12">
        <v>226000</v>
      </c>
      <c r="L51" s="115"/>
      <c r="M51" s="167"/>
      <c r="N51" s="115"/>
      <c r="O51" s="167"/>
      <c r="P51" s="114"/>
    </row>
    <row r="52" spans="1:16" ht="122.4" x14ac:dyDescent="0.25">
      <c r="A52" s="39" t="s">
        <v>360</v>
      </c>
      <c r="B52" s="6" t="s">
        <v>224</v>
      </c>
      <c r="C52" s="105" t="s">
        <v>699</v>
      </c>
      <c r="D52" s="113" t="s">
        <v>701</v>
      </c>
      <c r="E52" s="105" t="s">
        <v>677</v>
      </c>
      <c r="F52" s="107">
        <v>61</v>
      </c>
      <c r="G52" s="123">
        <v>244</v>
      </c>
      <c r="H52" s="44">
        <v>226</v>
      </c>
      <c r="I52" s="44"/>
      <c r="J52" s="114"/>
      <c r="K52" s="12">
        <v>204150</v>
      </c>
      <c r="L52" s="115"/>
      <c r="M52" s="152">
        <f>O52</f>
        <v>194003</v>
      </c>
      <c r="N52" s="115"/>
      <c r="O52" s="152">
        <f>64000+118708+6000+5295</f>
        <v>194003</v>
      </c>
      <c r="P52" s="114"/>
    </row>
    <row r="53" spans="1:16" x14ac:dyDescent="0.25">
      <c r="A53" s="39" t="s">
        <v>361</v>
      </c>
      <c r="B53" s="6" t="s">
        <v>41</v>
      </c>
      <c r="C53" s="105"/>
      <c r="D53" s="113"/>
      <c r="E53" s="123"/>
      <c r="F53" s="107">
        <v>61</v>
      </c>
      <c r="G53" s="123">
        <v>244</v>
      </c>
      <c r="H53" s="44"/>
      <c r="I53" s="44"/>
      <c r="J53" s="114"/>
      <c r="K53" s="12">
        <v>0</v>
      </c>
      <c r="L53" s="115"/>
      <c r="M53" s="167"/>
      <c r="N53" s="115"/>
      <c r="O53" s="167"/>
      <c r="P53" s="114"/>
    </row>
    <row r="54" spans="1:16" ht="26.4" x14ac:dyDescent="0.25">
      <c r="A54" s="39" t="s">
        <v>362</v>
      </c>
      <c r="B54" s="81" t="s">
        <v>211</v>
      </c>
      <c r="C54" s="105"/>
      <c r="D54" s="113"/>
      <c r="E54" s="105"/>
      <c r="F54" s="107">
        <v>61</v>
      </c>
      <c r="G54" s="123">
        <v>244</v>
      </c>
      <c r="H54" s="44"/>
      <c r="I54" s="44"/>
      <c r="J54" s="114"/>
      <c r="K54" s="12">
        <v>0</v>
      </c>
      <c r="L54" s="115"/>
      <c r="M54" s="75"/>
      <c r="N54" s="115"/>
      <c r="O54" s="152"/>
      <c r="P54" s="114"/>
    </row>
    <row r="55" spans="1:16" ht="30.6" x14ac:dyDescent="0.25">
      <c r="A55" s="39" t="s">
        <v>363</v>
      </c>
      <c r="B55" s="6" t="s">
        <v>201</v>
      </c>
      <c r="C55" s="105" t="s">
        <v>699</v>
      </c>
      <c r="D55" s="113" t="s">
        <v>701</v>
      </c>
      <c r="E55" s="105" t="s">
        <v>586</v>
      </c>
      <c r="F55" s="107">
        <v>61</v>
      </c>
      <c r="G55" s="123">
        <v>244</v>
      </c>
      <c r="H55" s="44">
        <v>349</v>
      </c>
      <c r="I55" s="44"/>
      <c r="J55" s="114"/>
      <c r="K55" s="12">
        <v>21850</v>
      </c>
      <c r="L55" s="115"/>
      <c r="M55" s="152">
        <f>O55</f>
        <v>21850</v>
      </c>
      <c r="N55" s="115"/>
      <c r="O55" s="152">
        <v>21850</v>
      </c>
      <c r="P55" s="114"/>
    </row>
    <row r="56" spans="1:16" s="111" customFormat="1" ht="26.4" x14ac:dyDescent="0.25">
      <c r="A56" s="38">
        <v>12</v>
      </c>
      <c r="B56" s="5" t="s">
        <v>116</v>
      </c>
      <c r="C56" s="105"/>
      <c r="D56" s="113"/>
      <c r="E56" s="105"/>
      <c r="F56" s="107">
        <v>61</v>
      </c>
      <c r="G56" s="105"/>
      <c r="H56" s="44"/>
      <c r="I56" s="44"/>
      <c r="J56" s="114"/>
      <c r="K56" s="11">
        <f>K57+K58+K59+K60</f>
        <v>107136</v>
      </c>
      <c r="L56" s="115"/>
      <c r="M56" s="152"/>
      <c r="N56" s="115"/>
      <c r="O56" s="152"/>
      <c r="P56" s="114"/>
    </row>
    <row r="57" spans="1:16" ht="26.4" x14ac:dyDescent="0.25">
      <c r="A57" s="39" t="s">
        <v>364</v>
      </c>
      <c r="B57" s="6" t="s">
        <v>211</v>
      </c>
      <c r="C57" s="105"/>
      <c r="D57" s="113"/>
      <c r="E57" s="123"/>
      <c r="F57" s="107">
        <v>61</v>
      </c>
      <c r="G57" s="123">
        <v>244</v>
      </c>
      <c r="H57" s="44">
        <v>349</v>
      </c>
      <c r="I57" s="44"/>
      <c r="J57" s="114"/>
      <c r="K57" s="12">
        <v>0</v>
      </c>
      <c r="L57" s="115"/>
      <c r="M57" s="152"/>
      <c r="N57" s="115"/>
      <c r="O57" s="152"/>
      <c r="P57" s="114"/>
    </row>
    <row r="58" spans="1:16" x14ac:dyDescent="0.25">
      <c r="A58" s="39" t="s">
        <v>365</v>
      </c>
      <c r="B58" s="6" t="s">
        <v>44</v>
      </c>
      <c r="C58" s="105"/>
      <c r="D58" s="113"/>
      <c r="E58" s="105"/>
      <c r="F58" s="107">
        <v>61</v>
      </c>
      <c r="G58" s="123">
        <v>244</v>
      </c>
      <c r="H58" s="44">
        <v>349</v>
      </c>
      <c r="I58" s="44"/>
      <c r="J58" s="117"/>
      <c r="K58" s="12">
        <v>0</v>
      </c>
      <c r="L58" s="118"/>
      <c r="M58" s="152"/>
      <c r="N58" s="115"/>
      <c r="O58" s="152"/>
      <c r="P58" s="114"/>
    </row>
    <row r="59" spans="1:16" x14ac:dyDescent="0.25">
      <c r="A59" s="39" t="s">
        <v>366</v>
      </c>
      <c r="B59" s="6" t="s">
        <v>14</v>
      </c>
      <c r="C59" s="112" t="s">
        <v>700</v>
      </c>
      <c r="D59" s="112" t="s">
        <v>700</v>
      </c>
      <c r="E59" s="126"/>
      <c r="F59" s="107">
        <v>61</v>
      </c>
      <c r="G59" s="123">
        <v>244</v>
      </c>
      <c r="H59" s="44">
        <v>222</v>
      </c>
      <c r="I59" s="44"/>
      <c r="J59" s="117"/>
      <c r="K59" s="12">
        <f>6*1600</f>
        <v>9600</v>
      </c>
      <c r="L59" s="118"/>
      <c r="M59" s="152"/>
      <c r="N59" s="115"/>
      <c r="O59" s="152"/>
      <c r="P59" s="114"/>
    </row>
    <row r="60" spans="1:16" ht="61.2" x14ac:dyDescent="0.25">
      <c r="A60" s="39" t="s">
        <v>367</v>
      </c>
      <c r="B60" s="6" t="s">
        <v>368</v>
      </c>
      <c r="C60" s="105" t="s">
        <v>699</v>
      </c>
      <c r="D60" s="113" t="s">
        <v>701</v>
      </c>
      <c r="E60" s="105" t="s">
        <v>658</v>
      </c>
      <c r="F60" s="107">
        <v>61</v>
      </c>
      <c r="G60" s="123">
        <v>244</v>
      </c>
      <c r="H60" s="44">
        <v>226</v>
      </c>
      <c r="I60" s="44"/>
      <c r="J60" s="114"/>
      <c r="K60" s="12">
        <v>97536</v>
      </c>
      <c r="L60" s="115"/>
      <c r="M60" s="152">
        <f>38355+33000</f>
        <v>71355</v>
      </c>
      <c r="N60" s="115"/>
      <c r="O60" s="152">
        <f>M60</f>
        <v>71355</v>
      </c>
      <c r="P60" s="114"/>
    </row>
    <row r="61" spans="1:16" s="111" customFormat="1" x14ac:dyDescent="0.25">
      <c r="A61" s="38">
        <v>13</v>
      </c>
      <c r="B61" s="5" t="s">
        <v>212</v>
      </c>
      <c r="C61" s="107"/>
      <c r="D61" s="119"/>
      <c r="E61" s="124"/>
      <c r="F61" s="107">
        <v>61</v>
      </c>
      <c r="G61" s="124"/>
      <c r="H61" s="44"/>
      <c r="I61" s="44"/>
      <c r="J61" s="125"/>
      <c r="K61" s="11">
        <f>K62</f>
        <v>32000</v>
      </c>
      <c r="L61" s="1"/>
      <c r="M61" s="167"/>
      <c r="N61" s="1"/>
      <c r="O61" s="167"/>
      <c r="P61" s="125"/>
    </row>
    <row r="62" spans="1:16" ht="26.4" x14ac:dyDescent="0.25">
      <c r="A62" s="39" t="s">
        <v>173</v>
      </c>
      <c r="B62" s="6" t="s">
        <v>20</v>
      </c>
      <c r="C62" s="105" t="s">
        <v>699</v>
      </c>
      <c r="D62" s="113" t="s">
        <v>704</v>
      </c>
      <c r="E62" s="105"/>
      <c r="F62" s="107">
        <v>61</v>
      </c>
      <c r="G62" s="123">
        <v>244</v>
      </c>
      <c r="H62" s="44">
        <v>226</v>
      </c>
      <c r="I62" s="44"/>
      <c r="J62" s="114"/>
      <c r="K62" s="12">
        <v>32000</v>
      </c>
      <c r="L62" s="115"/>
      <c r="M62" s="152"/>
      <c r="N62" s="115"/>
      <c r="O62" s="152"/>
      <c r="P62" s="114"/>
    </row>
    <row r="63" spans="1:16" ht="66" x14ac:dyDescent="0.25">
      <c r="A63" s="38">
        <v>14</v>
      </c>
      <c r="B63" s="5" t="s">
        <v>225</v>
      </c>
      <c r="C63" s="105"/>
      <c r="D63" s="113"/>
      <c r="E63" s="123"/>
      <c r="F63" s="107">
        <v>61</v>
      </c>
      <c r="G63" s="123"/>
      <c r="H63" s="44"/>
      <c r="I63" s="44"/>
      <c r="J63" s="114"/>
      <c r="K63" s="11">
        <f>K64</f>
        <v>6360</v>
      </c>
      <c r="L63" s="115"/>
      <c r="M63" s="152"/>
      <c r="N63" s="115"/>
      <c r="O63" s="152"/>
      <c r="P63" s="114"/>
    </row>
    <row r="64" spans="1:16" s="111" customFormat="1" ht="30.6" x14ac:dyDescent="0.25">
      <c r="A64" s="39" t="s">
        <v>369</v>
      </c>
      <c r="B64" s="6" t="s">
        <v>27</v>
      </c>
      <c r="C64" s="105" t="s">
        <v>699</v>
      </c>
      <c r="D64" s="113" t="s">
        <v>706</v>
      </c>
      <c r="E64" s="105" t="s">
        <v>623</v>
      </c>
      <c r="F64" s="107">
        <v>61</v>
      </c>
      <c r="G64" s="123">
        <v>244</v>
      </c>
      <c r="H64" s="44">
        <v>349</v>
      </c>
      <c r="I64" s="44"/>
      <c r="J64" s="125"/>
      <c r="K64" s="12">
        <f>(30*200)*1.06</f>
        <v>6360</v>
      </c>
      <c r="L64" s="115"/>
      <c r="M64" s="152">
        <v>4977</v>
      </c>
      <c r="N64" s="115"/>
      <c r="O64" s="152">
        <f>M64</f>
        <v>4977</v>
      </c>
      <c r="P64" s="114"/>
    </row>
    <row r="65" spans="1:16" x14ac:dyDescent="0.25">
      <c r="A65" s="38">
        <v>15</v>
      </c>
      <c r="B65" s="5" t="s">
        <v>212</v>
      </c>
      <c r="C65" s="105"/>
      <c r="D65" s="113"/>
      <c r="E65" s="123"/>
      <c r="F65" s="107">
        <v>61</v>
      </c>
      <c r="G65" s="123"/>
      <c r="H65" s="44"/>
      <c r="I65" s="44"/>
      <c r="J65" s="114"/>
      <c r="K65" s="11">
        <f>K66</f>
        <v>18000</v>
      </c>
      <c r="L65" s="115"/>
      <c r="M65" s="152"/>
      <c r="N65" s="115"/>
      <c r="O65" s="152"/>
      <c r="P65" s="114"/>
    </row>
    <row r="66" spans="1:16" ht="26.4" x14ac:dyDescent="0.25">
      <c r="A66" s="39" t="s">
        <v>370</v>
      </c>
      <c r="B66" s="6" t="s">
        <v>20</v>
      </c>
      <c r="C66" s="105" t="s">
        <v>699</v>
      </c>
      <c r="D66" s="113" t="s">
        <v>705</v>
      </c>
      <c r="E66" s="123"/>
      <c r="F66" s="107">
        <v>61</v>
      </c>
      <c r="G66" s="123">
        <v>244</v>
      </c>
      <c r="H66" s="44">
        <v>226</v>
      </c>
      <c r="I66" s="44"/>
      <c r="J66" s="114"/>
      <c r="K66" s="12">
        <v>18000</v>
      </c>
      <c r="L66" s="115"/>
      <c r="M66" s="167"/>
      <c r="N66" s="115"/>
      <c r="O66" s="167"/>
      <c r="P66" s="114"/>
    </row>
    <row r="67" spans="1:16" ht="26.4" x14ac:dyDescent="0.25">
      <c r="A67" s="38">
        <v>16</v>
      </c>
      <c r="B67" s="5" t="s">
        <v>117</v>
      </c>
      <c r="C67" s="105"/>
      <c r="D67" s="113"/>
      <c r="E67" s="123"/>
      <c r="F67" s="107">
        <v>61</v>
      </c>
      <c r="G67" s="123"/>
      <c r="H67" s="44"/>
      <c r="I67" s="44"/>
      <c r="J67" s="114"/>
      <c r="K67" s="11">
        <f>K68+K69+K70</f>
        <v>6678</v>
      </c>
      <c r="L67" s="115"/>
      <c r="M67" s="152"/>
      <c r="N67" s="115"/>
      <c r="O67" s="152"/>
      <c r="P67" s="114"/>
    </row>
    <row r="68" spans="1:16" ht="26.4" x14ac:dyDescent="0.25">
      <c r="A68" s="39" t="s">
        <v>371</v>
      </c>
      <c r="B68" s="6" t="s">
        <v>211</v>
      </c>
      <c r="C68" s="105" t="s">
        <v>699</v>
      </c>
      <c r="D68" s="113" t="s">
        <v>706</v>
      </c>
      <c r="E68" s="44"/>
      <c r="F68" s="107">
        <v>61</v>
      </c>
      <c r="G68" s="123">
        <v>244</v>
      </c>
      <c r="H68" s="53" t="s">
        <v>625</v>
      </c>
      <c r="I68" s="55"/>
      <c r="J68" s="12"/>
      <c r="K68" s="12">
        <v>0</v>
      </c>
      <c r="L68" s="115"/>
      <c r="M68" s="152"/>
      <c r="N68" s="115"/>
      <c r="O68" s="152"/>
      <c r="P68" s="114"/>
    </row>
    <row r="69" spans="1:16" x14ac:dyDescent="0.25">
      <c r="A69" s="39" t="s">
        <v>372</v>
      </c>
      <c r="B69" s="6" t="s">
        <v>41</v>
      </c>
      <c r="C69" s="105" t="s">
        <v>699</v>
      </c>
      <c r="D69" s="113" t="s">
        <v>706</v>
      </c>
      <c r="E69" s="44"/>
      <c r="F69" s="107">
        <v>61</v>
      </c>
      <c r="G69" s="123">
        <v>244</v>
      </c>
      <c r="H69" s="53" t="s">
        <v>527</v>
      </c>
      <c r="I69" s="55"/>
      <c r="J69" s="12"/>
      <c r="K69" s="12">
        <v>1278</v>
      </c>
      <c r="L69" s="115"/>
      <c r="M69" s="152"/>
      <c r="N69" s="115"/>
      <c r="O69" s="152"/>
      <c r="P69" s="114"/>
    </row>
    <row r="70" spans="1:16" ht="30.6" x14ac:dyDescent="0.25">
      <c r="A70" s="39" t="s">
        <v>373</v>
      </c>
      <c r="B70" s="6" t="s">
        <v>624</v>
      </c>
      <c r="C70" s="105" t="s">
        <v>699</v>
      </c>
      <c r="D70" s="113" t="s">
        <v>706</v>
      </c>
      <c r="E70" s="105" t="s">
        <v>626</v>
      </c>
      <c r="F70" s="107">
        <v>61</v>
      </c>
      <c r="G70" s="123">
        <v>244</v>
      </c>
      <c r="H70" s="53" t="s">
        <v>625</v>
      </c>
      <c r="I70" s="55"/>
      <c r="J70" s="12"/>
      <c r="K70" s="12">
        <v>5400</v>
      </c>
      <c r="L70" s="115"/>
      <c r="M70" s="152">
        <v>5400</v>
      </c>
      <c r="N70" s="115"/>
      <c r="O70" s="152">
        <v>5400</v>
      </c>
      <c r="P70" s="114"/>
    </row>
    <row r="71" spans="1:16" ht="39.6" x14ac:dyDescent="0.25">
      <c r="A71" s="38">
        <v>17</v>
      </c>
      <c r="B71" s="5" t="s">
        <v>120</v>
      </c>
      <c r="C71" s="105"/>
      <c r="D71" s="113"/>
      <c r="E71" s="123"/>
      <c r="F71" s="107">
        <v>61</v>
      </c>
      <c r="G71" s="123"/>
      <c r="H71" s="44"/>
      <c r="I71" s="44"/>
      <c r="J71" s="114"/>
      <c r="K71" s="11">
        <f>K72</f>
        <v>159000</v>
      </c>
      <c r="L71" s="115"/>
      <c r="M71" s="152"/>
      <c r="N71" s="115"/>
      <c r="O71" s="152"/>
      <c r="P71" s="114"/>
    </row>
    <row r="72" spans="1:16" x14ac:dyDescent="0.25">
      <c r="A72" s="41" t="s">
        <v>374</v>
      </c>
      <c r="B72" s="7" t="s">
        <v>121</v>
      </c>
      <c r="C72" s="105" t="s">
        <v>699</v>
      </c>
      <c r="D72" s="113" t="s">
        <v>707</v>
      </c>
      <c r="E72" s="123"/>
      <c r="F72" s="107">
        <v>61</v>
      </c>
      <c r="G72" s="123">
        <v>244</v>
      </c>
      <c r="H72" s="44">
        <v>226</v>
      </c>
      <c r="I72" s="44"/>
      <c r="J72" s="114"/>
      <c r="K72" s="12">
        <v>159000</v>
      </c>
      <c r="L72" s="115"/>
      <c r="M72" s="167"/>
      <c r="N72" s="115"/>
      <c r="O72" s="167"/>
      <c r="P72" s="114"/>
    </row>
    <row r="73" spans="1:16" ht="26.4" x14ac:dyDescent="0.25">
      <c r="A73" s="38">
        <v>18</v>
      </c>
      <c r="B73" s="5" t="s">
        <v>122</v>
      </c>
      <c r="C73" s="105"/>
      <c r="D73" s="113"/>
      <c r="E73" s="105"/>
      <c r="F73" s="107">
        <v>61</v>
      </c>
      <c r="G73" s="105"/>
      <c r="H73" s="44"/>
      <c r="I73" s="44"/>
      <c r="J73" s="114"/>
      <c r="K73" s="11">
        <f>K74+K75+K76</f>
        <v>73836</v>
      </c>
      <c r="L73" s="115"/>
      <c r="M73" s="152"/>
      <c r="N73" s="115"/>
      <c r="O73" s="152"/>
      <c r="P73" s="114"/>
    </row>
    <row r="74" spans="1:16" ht="26.4" x14ac:dyDescent="0.25">
      <c r="A74" s="39" t="s">
        <v>375</v>
      </c>
      <c r="B74" s="6" t="s">
        <v>211</v>
      </c>
      <c r="C74" s="105" t="s">
        <v>699</v>
      </c>
      <c r="D74" s="113" t="s">
        <v>706</v>
      </c>
      <c r="E74" s="105"/>
      <c r="F74" s="107">
        <v>61</v>
      </c>
      <c r="G74" s="123">
        <v>244</v>
      </c>
      <c r="H74" s="44">
        <v>349</v>
      </c>
      <c r="I74" s="44"/>
      <c r="J74" s="114"/>
      <c r="K74" s="12">
        <f>(20*30)*1.06</f>
        <v>636</v>
      </c>
      <c r="L74" s="115"/>
      <c r="M74" s="152"/>
      <c r="N74" s="115"/>
      <c r="O74" s="152"/>
      <c r="P74" s="114"/>
    </row>
    <row r="75" spans="1:16" ht="40.799999999999997" x14ac:dyDescent="0.25">
      <c r="A75" s="39" t="s">
        <v>376</v>
      </c>
      <c r="B75" s="6" t="s">
        <v>44</v>
      </c>
      <c r="C75" s="105" t="s">
        <v>699</v>
      </c>
      <c r="D75" s="113" t="s">
        <v>706</v>
      </c>
      <c r="E75" s="105" t="s">
        <v>627</v>
      </c>
      <c r="F75" s="107">
        <v>61</v>
      </c>
      <c r="G75" s="123">
        <v>244</v>
      </c>
      <c r="H75" s="44">
        <v>349</v>
      </c>
      <c r="I75" s="44"/>
      <c r="J75" s="114"/>
      <c r="K75" s="12">
        <f>(30*2000)*1.06</f>
        <v>63600</v>
      </c>
      <c r="L75" s="115"/>
      <c r="M75" s="152">
        <v>47200</v>
      </c>
      <c r="N75" s="115"/>
      <c r="O75" s="152">
        <f>M75</f>
        <v>47200</v>
      </c>
      <c r="P75" s="114"/>
    </row>
    <row r="76" spans="1:16" ht="30.6" x14ac:dyDescent="0.25">
      <c r="A76" s="39" t="s">
        <v>377</v>
      </c>
      <c r="B76" s="6" t="s">
        <v>14</v>
      </c>
      <c r="C76" s="112" t="s">
        <v>700</v>
      </c>
      <c r="D76" s="112" t="s">
        <v>700</v>
      </c>
      <c r="E76" s="105" t="s">
        <v>634</v>
      </c>
      <c r="F76" s="107">
        <v>61</v>
      </c>
      <c r="G76" s="123">
        <v>244</v>
      </c>
      <c r="H76" s="44">
        <v>222</v>
      </c>
      <c r="I76" s="44"/>
      <c r="J76" s="114"/>
      <c r="K76" s="12">
        <f>6*1600</f>
        <v>9600</v>
      </c>
      <c r="L76" s="115"/>
      <c r="M76" s="152">
        <v>7440</v>
      </c>
      <c r="N76" s="115"/>
      <c r="O76" s="152">
        <f>M76</f>
        <v>7440</v>
      </c>
      <c r="P76" s="114"/>
    </row>
    <row r="77" spans="1:16" ht="39.6" x14ac:dyDescent="0.25">
      <c r="A77" s="38">
        <v>19</v>
      </c>
      <c r="B77" s="5" t="s">
        <v>231</v>
      </c>
      <c r="C77" s="105"/>
      <c r="D77" s="113"/>
      <c r="E77" s="123"/>
      <c r="F77" s="107">
        <v>61</v>
      </c>
      <c r="G77" s="123"/>
      <c r="H77" s="44"/>
      <c r="I77" s="44"/>
      <c r="J77" s="114"/>
      <c r="K77" s="11">
        <f>K78</f>
        <v>20000</v>
      </c>
      <c r="L77" s="115"/>
      <c r="M77" s="152"/>
      <c r="N77" s="115"/>
      <c r="O77" s="152"/>
      <c r="P77" s="114"/>
    </row>
    <row r="78" spans="1:16" ht="30.6" x14ac:dyDescent="0.25">
      <c r="A78" s="39" t="s">
        <v>378</v>
      </c>
      <c r="B78" s="6" t="s">
        <v>14</v>
      </c>
      <c r="C78" s="112" t="s">
        <v>700</v>
      </c>
      <c r="D78" s="112" t="s">
        <v>700</v>
      </c>
      <c r="E78" s="105" t="s">
        <v>634</v>
      </c>
      <c r="F78" s="107">
        <v>61</v>
      </c>
      <c r="G78" s="123">
        <v>244</v>
      </c>
      <c r="H78" s="44">
        <v>222</v>
      </c>
      <c r="I78" s="44"/>
      <c r="J78" s="114"/>
      <c r="K78" s="12">
        <f>10*2000</f>
        <v>20000</v>
      </c>
      <c r="L78" s="115"/>
      <c r="M78" s="152">
        <f>9504+7920</f>
        <v>17424</v>
      </c>
      <c r="N78" s="115"/>
      <c r="O78" s="152">
        <f>M78</f>
        <v>17424</v>
      </c>
      <c r="P78" s="127"/>
    </row>
    <row r="79" spans="1:16" ht="39.6" x14ac:dyDescent="0.25">
      <c r="A79" s="38">
        <v>20</v>
      </c>
      <c r="B79" s="5" t="s">
        <v>233</v>
      </c>
      <c r="C79" s="105"/>
      <c r="D79" s="113"/>
      <c r="E79" s="105"/>
      <c r="F79" s="107">
        <v>61</v>
      </c>
      <c r="G79" s="105"/>
      <c r="H79" s="44"/>
      <c r="I79" s="44"/>
      <c r="J79" s="114"/>
      <c r="K79" s="11">
        <f>K80+K81+K82+K83+K84</f>
        <v>57497</v>
      </c>
      <c r="L79" s="115"/>
      <c r="M79" s="152"/>
      <c r="N79" s="115"/>
      <c r="O79" s="152"/>
      <c r="P79" s="114"/>
    </row>
    <row r="80" spans="1:16" ht="30.6" x14ac:dyDescent="0.25">
      <c r="A80" s="39" t="s">
        <v>379</v>
      </c>
      <c r="B80" s="6" t="s">
        <v>201</v>
      </c>
      <c r="C80" s="105" t="s">
        <v>699</v>
      </c>
      <c r="D80" s="112" t="s">
        <v>700</v>
      </c>
      <c r="E80" s="105" t="s">
        <v>585</v>
      </c>
      <c r="F80" s="107">
        <v>61</v>
      </c>
      <c r="G80" s="123">
        <v>244</v>
      </c>
      <c r="H80" s="44">
        <v>349</v>
      </c>
      <c r="I80" s="44"/>
      <c r="J80" s="114"/>
      <c r="K80" s="12">
        <f>((60*50)+ 3000)*1.06</f>
        <v>6360</v>
      </c>
      <c r="L80" s="115"/>
      <c r="M80" s="152">
        <v>6350</v>
      </c>
      <c r="N80" s="115"/>
      <c r="O80" s="152">
        <v>6350</v>
      </c>
      <c r="P80" s="114"/>
    </row>
    <row r="81" spans="1:16" ht="30.6" x14ac:dyDescent="0.25">
      <c r="A81" s="39" t="s">
        <v>380</v>
      </c>
      <c r="B81" s="6" t="s">
        <v>14</v>
      </c>
      <c r="C81" s="112" t="s">
        <v>700</v>
      </c>
      <c r="D81" s="112" t="s">
        <v>700</v>
      </c>
      <c r="E81" s="105" t="s">
        <v>634</v>
      </c>
      <c r="F81" s="107">
        <v>61</v>
      </c>
      <c r="G81" s="123">
        <v>244</v>
      </c>
      <c r="H81" s="44">
        <v>222</v>
      </c>
      <c r="I81" s="44"/>
      <c r="J81" s="114"/>
      <c r="K81" s="12">
        <f>10*2000</f>
        <v>20000</v>
      </c>
      <c r="L81" s="115"/>
      <c r="M81" s="152">
        <f>11088+6336</f>
        <v>17424</v>
      </c>
      <c r="N81" s="115"/>
      <c r="O81" s="152">
        <f>M81</f>
        <v>17424</v>
      </c>
      <c r="P81" s="114"/>
    </row>
    <row r="82" spans="1:16" ht="40.799999999999997" x14ac:dyDescent="0.25">
      <c r="A82" s="39" t="s">
        <v>381</v>
      </c>
      <c r="B82" s="6" t="s">
        <v>382</v>
      </c>
      <c r="C82" s="105" t="s">
        <v>699</v>
      </c>
      <c r="D82" s="112" t="s">
        <v>708</v>
      </c>
      <c r="E82" s="105" t="s">
        <v>672</v>
      </c>
      <c r="F82" s="107">
        <v>61</v>
      </c>
      <c r="G82" s="123">
        <v>244</v>
      </c>
      <c r="H82" s="44">
        <v>342</v>
      </c>
      <c r="I82" s="44"/>
      <c r="J82" s="114"/>
      <c r="K82" s="12">
        <v>2517</v>
      </c>
      <c r="L82" s="115"/>
      <c r="M82" s="152">
        <v>2517</v>
      </c>
      <c r="N82" s="115"/>
      <c r="O82" s="152">
        <f>M82</f>
        <v>2517</v>
      </c>
      <c r="P82" s="114"/>
    </row>
    <row r="83" spans="1:16" x14ac:dyDescent="0.25">
      <c r="A83" s="39" t="s">
        <v>383</v>
      </c>
      <c r="B83" s="6" t="s">
        <v>41</v>
      </c>
      <c r="C83" s="105" t="s">
        <v>699</v>
      </c>
      <c r="D83" s="113" t="s">
        <v>708</v>
      </c>
      <c r="E83" s="105"/>
      <c r="F83" s="107">
        <v>61</v>
      </c>
      <c r="G83" s="123">
        <v>244</v>
      </c>
      <c r="H83" s="44">
        <v>226</v>
      </c>
      <c r="I83" s="44"/>
      <c r="J83" s="114"/>
      <c r="K83" s="12">
        <f>(60*300)*1.06</f>
        <v>19080</v>
      </c>
      <c r="L83" s="115"/>
      <c r="M83" s="152"/>
      <c r="N83" s="115"/>
      <c r="O83" s="152"/>
      <c r="P83" s="114"/>
    </row>
    <row r="84" spans="1:16" ht="40.799999999999997" x14ac:dyDescent="0.25">
      <c r="A84" s="39" t="s">
        <v>384</v>
      </c>
      <c r="B84" s="6" t="s">
        <v>40</v>
      </c>
      <c r="C84" s="112" t="s">
        <v>699</v>
      </c>
      <c r="D84" s="113" t="s">
        <v>700</v>
      </c>
      <c r="E84" s="105" t="s">
        <v>587</v>
      </c>
      <c r="F84" s="107">
        <v>61</v>
      </c>
      <c r="G84" s="123">
        <v>244</v>
      </c>
      <c r="H84" s="44">
        <v>226</v>
      </c>
      <c r="I84" s="44"/>
      <c r="J84" s="114"/>
      <c r="K84" s="12">
        <f>(6*1500)*1.06</f>
        <v>9540</v>
      </c>
      <c r="L84" s="115"/>
      <c r="M84" s="152">
        <f>1320*4</f>
        <v>5280</v>
      </c>
      <c r="N84" s="115"/>
      <c r="O84" s="152">
        <v>5280</v>
      </c>
      <c r="P84" s="114"/>
    </row>
    <row r="85" spans="1:16" ht="39.6" x14ac:dyDescent="0.25">
      <c r="A85" s="38">
        <v>21</v>
      </c>
      <c r="B85" s="5" t="s">
        <v>236</v>
      </c>
      <c r="C85" s="105"/>
      <c r="D85" s="113"/>
      <c r="E85" s="123"/>
      <c r="F85" s="107">
        <v>61</v>
      </c>
      <c r="G85" s="123"/>
      <c r="H85" s="44"/>
      <c r="I85" s="44"/>
      <c r="J85" s="114"/>
      <c r="K85" s="11">
        <f>SUM(K86:K87)</f>
        <v>26340</v>
      </c>
      <c r="L85" s="115"/>
      <c r="M85" s="167"/>
      <c r="N85" s="115"/>
      <c r="O85" s="167"/>
      <c r="P85" s="114"/>
    </row>
    <row r="86" spans="1:16" x14ac:dyDescent="0.25">
      <c r="A86" s="39" t="s">
        <v>385</v>
      </c>
      <c r="B86" s="6" t="s">
        <v>14</v>
      </c>
      <c r="C86" s="112" t="s">
        <v>700</v>
      </c>
      <c r="D86" s="112" t="s">
        <v>700</v>
      </c>
      <c r="E86" s="105"/>
      <c r="F86" s="107">
        <v>61</v>
      </c>
      <c r="G86" s="123">
        <v>244</v>
      </c>
      <c r="H86" s="44">
        <v>222</v>
      </c>
      <c r="I86" s="44"/>
      <c r="J86" s="114"/>
      <c r="K86" s="12">
        <f>3*4*1400</f>
        <v>16800</v>
      </c>
      <c r="L86" s="115"/>
      <c r="M86" s="152"/>
      <c r="N86" s="115"/>
      <c r="O86" s="152"/>
      <c r="P86" s="114"/>
    </row>
    <row r="87" spans="1:16" ht="40.799999999999997" x14ac:dyDescent="0.25">
      <c r="A87" s="39" t="s">
        <v>386</v>
      </c>
      <c r="B87" s="6" t="s">
        <v>40</v>
      </c>
      <c r="C87" s="112" t="s">
        <v>699</v>
      </c>
      <c r="D87" s="113" t="s">
        <v>700</v>
      </c>
      <c r="E87" s="105" t="s">
        <v>587</v>
      </c>
      <c r="F87" s="107">
        <v>61</v>
      </c>
      <c r="G87" s="123">
        <v>244</v>
      </c>
      <c r="H87" s="44">
        <v>226</v>
      </c>
      <c r="I87" s="44"/>
      <c r="J87" s="114"/>
      <c r="K87" s="12">
        <f>(6*1500)*1.06</f>
        <v>9540</v>
      </c>
      <c r="L87" s="115"/>
      <c r="M87" s="152">
        <f>1320*7</f>
        <v>9240</v>
      </c>
      <c r="N87" s="115"/>
      <c r="O87" s="152">
        <v>9240</v>
      </c>
      <c r="P87" s="114"/>
    </row>
    <row r="88" spans="1:16" ht="52.8" x14ac:dyDescent="0.25">
      <c r="A88" s="38">
        <v>22</v>
      </c>
      <c r="B88" s="5" t="s">
        <v>239</v>
      </c>
      <c r="C88" s="105"/>
      <c r="D88" s="113"/>
      <c r="E88" s="123"/>
      <c r="F88" s="107">
        <v>61</v>
      </c>
      <c r="G88" s="123"/>
      <c r="H88" s="44"/>
      <c r="I88" s="44"/>
      <c r="J88" s="114"/>
      <c r="K88" s="11">
        <f>K89</f>
        <v>20000</v>
      </c>
      <c r="L88" s="115"/>
      <c r="M88" s="167"/>
      <c r="N88" s="115"/>
      <c r="O88" s="167"/>
      <c r="P88" s="114"/>
    </row>
    <row r="89" spans="1:16" ht="30.6" x14ac:dyDescent="0.25">
      <c r="A89" s="39" t="s">
        <v>387</v>
      </c>
      <c r="B89" s="6" t="s">
        <v>14</v>
      </c>
      <c r="C89" s="112" t="s">
        <v>700</v>
      </c>
      <c r="D89" s="112" t="s">
        <v>700</v>
      </c>
      <c r="E89" s="105" t="s">
        <v>634</v>
      </c>
      <c r="F89" s="107">
        <v>61</v>
      </c>
      <c r="G89" s="123">
        <v>244</v>
      </c>
      <c r="H89" s="44">
        <v>222</v>
      </c>
      <c r="I89" s="44"/>
      <c r="J89" s="114"/>
      <c r="K89" s="12">
        <f>10*2000</f>
        <v>20000</v>
      </c>
      <c r="L89" s="115"/>
      <c r="M89" s="152">
        <v>14256</v>
      </c>
      <c r="N89" s="115"/>
      <c r="O89" s="152">
        <f>M89</f>
        <v>14256</v>
      </c>
      <c r="P89" s="114"/>
    </row>
    <row r="90" spans="1:16" ht="66" x14ac:dyDescent="0.25">
      <c r="A90" s="38">
        <v>23</v>
      </c>
      <c r="B90" s="5" t="s">
        <v>240</v>
      </c>
      <c r="C90" s="105"/>
      <c r="D90" s="113"/>
      <c r="E90" s="105"/>
      <c r="F90" s="107">
        <v>61</v>
      </c>
      <c r="G90" s="105"/>
      <c r="H90" s="44"/>
      <c r="I90" s="44"/>
      <c r="J90" s="114"/>
      <c r="K90" s="11">
        <f>K91+K92</f>
        <v>39080</v>
      </c>
      <c r="L90" s="115"/>
      <c r="M90" s="152"/>
      <c r="N90" s="115"/>
      <c r="O90" s="152"/>
      <c r="P90" s="114"/>
    </row>
    <row r="91" spans="1:16" ht="30.6" x14ac:dyDescent="0.25">
      <c r="A91" s="39" t="s">
        <v>388</v>
      </c>
      <c r="B91" s="6" t="s">
        <v>14</v>
      </c>
      <c r="C91" s="112" t="s">
        <v>700</v>
      </c>
      <c r="D91" s="112" t="s">
        <v>700</v>
      </c>
      <c r="E91" s="105" t="s">
        <v>634</v>
      </c>
      <c r="F91" s="107">
        <v>61</v>
      </c>
      <c r="G91" s="123">
        <v>244</v>
      </c>
      <c r="H91" s="44">
        <v>222</v>
      </c>
      <c r="I91" s="44"/>
      <c r="J91" s="114"/>
      <c r="K91" s="12">
        <f>10*2000</f>
        <v>20000</v>
      </c>
      <c r="L91" s="115"/>
      <c r="M91" s="152">
        <v>15840</v>
      </c>
      <c r="N91" s="115"/>
      <c r="O91" s="152">
        <f>M91</f>
        <v>15840</v>
      </c>
      <c r="P91" s="114"/>
    </row>
    <row r="92" spans="1:16" x14ac:dyDescent="0.25">
      <c r="A92" s="39" t="s">
        <v>389</v>
      </c>
      <c r="B92" s="6" t="s">
        <v>41</v>
      </c>
      <c r="C92" s="105" t="s">
        <v>699</v>
      </c>
      <c r="D92" s="113" t="s">
        <v>708</v>
      </c>
      <c r="E92" s="123"/>
      <c r="F92" s="107">
        <v>61</v>
      </c>
      <c r="G92" s="123">
        <v>244</v>
      </c>
      <c r="H92" s="44">
        <v>226</v>
      </c>
      <c r="I92" s="44"/>
      <c r="J92" s="114"/>
      <c r="K92" s="12">
        <f>(60*300)*1.06</f>
        <v>19080</v>
      </c>
      <c r="L92" s="115"/>
      <c r="M92" s="152"/>
      <c r="N92" s="115"/>
      <c r="O92" s="152"/>
      <c r="P92" s="114"/>
    </row>
    <row r="93" spans="1:16" ht="52.8" x14ac:dyDescent="0.25">
      <c r="A93" s="38">
        <v>24</v>
      </c>
      <c r="B93" s="5" t="s">
        <v>241</v>
      </c>
      <c r="C93" s="105"/>
      <c r="D93" s="113"/>
      <c r="E93" s="105"/>
      <c r="F93" s="107">
        <v>61</v>
      </c>
      <c r="G93" s="105"/>
      <c r="H93" s="44"/>
      <c r="I93" s="44"/>
      <c r="J93" s="114"/>
      <c r="K93" s="11">
        <f>K94+K95</f>
        <v>112360</v>
      </c>
      <c r="L93" s="115"/>
      <c r="M93" s="167"/>
      <c r="N93" s="115"/>
      <c r="O93" s="167"/>
      <c r="P93" s="114"/>
    </row>
    <row r="94" spans="1:16" ht="30.6" x14ac:dyDescent="0.25">
      <c r="A94" s="39" t="s">
        <v>390</v>
      </c>
      <c r="B94" s="6" t="s">
        <v>201</v>
      </c>
      <c r="C94" s="105" t="s">
        <v>699</v>
      </c>
      <c r="D94" s="112" t="s">
        <v>700</v>
      </c>
      <c r="E94" s="105" t="s">
        <v>585</v>
      </c>
      <c r="F94" s="107">
        <v>61</v>
      </c>
      <c r="G94" s="123">
        <v>244</v>
      </c>
      <c r="H94" s="44">
        <v>349</v>
      </c>
      <c r="I94" s="44"/>
      <c r="J94" s="114"/>
      <c r="K94" s="12">
        <f>(4*1500)*1.06</f>
        <v>6360</v>
      </c>
      <c r="L94" s="115"/>
      <c r="M94" s="152">
        <v>6360</v>
      </c>
      <c r="N94" s="115"/>
      <c r="O94" s="152"/>
      <c r="P94" s="114"/>
    </row>
    <row r="95" spans="1:16" ht="61.2" x14ac:dyDescent="0.25">
      <c r="A95" s="39" t="s">
        <v>391</v>
      </c>
      <c r="B95" s="6" t="s">
        <v>44</v>
      </c>
      <c r="C95" s="113" t="s">
        <v>706</v>
      </c>
      <c r="D95" s="113" t="s">
        <v>706</v>
      </c>
      <c r="E95" s="105" t="s">
        <v>628</v>
      </c>
      <c r="F95" s="107">
        <v>61</v>
      </c>
      <c r="G95" s="123">
        <v>244</v>
      </c>
      <c r="H95" s="44">
        <v>349</v>
      </c>
      <c r="I95" s="44"/>
      <c r="J95" s="114"/>
      <c r="K95" s="12">
        <f>(250*400)*1.06</f>
        <v>106000</v>
      </c>
      <c r="L95" s="115"/>
      <c r="M95" s="152">
        <f>33359.68+9633</f>
        <v>42992.68</v>
      </c>
      <c r="N95" s="115"/>
      <c r="O95" s="152">
        <f>M95</f>
        <v>42992.68</v>
      </c>
      <c r="P95" s="114"/>
    </row>
    <row r="96" spans="1:16" ht="52.8" x14ac:dyDescent="0.25">
      <c r="A96" s="38">
        <v>25</v>
      </c>
      <c r="B96" s="5" t="s">
        <v>242</v>
      </c>
      <c r="C96" s="105"/>
      <c r="D96" s="113"/>
      <c r="E96" s="123"/>
      <c r="F96" s="107">
        <v>61</v>
      </c>
      <c r="G96" s="123"/>
      <c r="H96" s="44"/>
      <c r="I96" s="44"/>
      <c r="J96" s="114"/>
      <c r="K96" s="11">
        <f>K97</f>
        <v>15900</v>
      </c>
      <c r="L96" s="115"/>
      <c r="M96" s="167"/>
      <c r="N96" s="115"/>
      <c r="O96" s="167"/>
      <c r="P96" s="114"/>
    </row>
    <row r="97" spans="1:16" ht="30.6" x14ac:dyDescent="0.25">
      <c r="A97" s="39" t="s">
        <v>392</v>
      </c>
      <c r="B97" s="6" t="s">
        <v>201</v>
      </c>
      <c r="C97" s="105" t="s">
        <v>699</v>
      </c>
      <c r="D97" s="112" t="s">
        <v>700</v>
      </c>
      <c r="E97" s="105" t="s">
        <v>585</v>
      </c>
      <c r="F97" s="107">
        <v>61</v>
      </c>
      <c r="G97" s="123">
        <v>244</v>
      </c>
      <c r="H97" s="44">
        <v>349</v>
      </c>
      <c r="I97" s="44"/>
      <c r="J97" s="114"/>
      <c r="K97" s="12">
        <f>(10*1500)*1.06</f>
        <v>15900</v>
      </c>
      <c r="L97" s="115"/>
      <c r="M97" s="152">
        <v>15900</v>
      </c>
      <c r="N97" s="115"/>
      <c r="O97" s="152"/>
      <c r="P97" s="114"/>
    </row>
    <row r="98" spans="1:16" ht="39.6" x14ac:dyDescent="0.25">
      <c r="A98" s="38">
        <v>26</v>
      </c>
      <c r="B98" s="5" t="s">
        <v>123</v>
      </c>
      <c r="C98" s="105"/>
      <c r="D98" s="113"/>
      <c r="E98" s="105"/>
      <c r="F98" s="107">
        <v>61</v>
      </c>
      <c r="G98" s="105"/>
      <c r="H98" s="44"/>
      <c r="I98" s="44"/>
      <c r="J98" s="114"/>
      <c r="K98" s="11">
        <f>K99</f>
        <v>20000</v>
      </c>
      <c r="L98" s="115"/>
      <c r="M98" s="152"/>
      <c r="N98" s="115"/>
      <c r="O98" s="152"/>
      <c r="P98" s="114"/>
    </row>
    <row r="99" spans="1:16" x14ac:dyDescent="0.25">
      <c r="A99" s="39" t="s">
        <v>393</v>
      </c>
      <c r="B99" s="6" t="s">
        <v>14</v>
      </c>
      <c r="C99" s="112" t="s">
        <v>700</v>
      </c>
      <c r="D99" s="112" t="s">
        <v>700</v>
      </c>
      <c r="E99" s="105"/>
      <c r="F99" s="107">
        <v>61</v>
      </c>
      <c r="G99" s="123">
        <v>244</v>
      </c>
      <c r="H99" s="44">
        <v>222</v>
      </c>
      <c r="I99" s="44"/>
      <c r="J99" s="114"/>
      <c r="K99" s="12">
        <f>10*2000</f>
        <v>20000</v>
      </c>
      <c r="L99" s="115"/>
      <c r="M99" s="152"/>
      <c r="N99" s="115"/>
      <c r="O99" s="152"/>
      <c r="P99" s="114"/>
    </row>
    <row r="100" spans="1:16" s="111" customFormat="1" ht="79.2" x14ac:dyDescent="0.25">
      <c r="A100" s="38">
        <v>27</v>
      </c>
      <c r="B100" s="5" t="s">
        <v>243</v>
      </c>
      <c r="C100" s="107"/>
      <c r="D100" s="119"/>
      <c r="E100" s="124"/>
      <c r="F100" s="107">
        <v>61</v>
      </c>
      <c r="G100" s="124"/>
      <c r="H100" s="44"/>
      <c r="I100" s="44"/>
      <c r="J100" s="125"/>
      <c r="K100" s="11">
        <f>K101</f>
        <v>2120</v>
      </c>
      <c r="L100" s="1"/>
      <c r="M100" s="167"/>
      <c r="N100" s="1"/>
      <c r="O100" s="167"/>
      <c r="P100" s="125"/>
    </row>
    <row r="101" spans="1:16" x14ac:dyDescent="0.25">
      <c r="A101" s="39" t="s">
        <v>394</v>
      </c>
      <c r="B101" s="6" t="s">
        <v>27</v>
      </c>
      <c r="C101" s="105" t="s">
        <v>699</v>
      </c>
      <c r="D101" s="113" t="s">
        <v>708</v>
      </c>
      <c r="E101" s="105"/>
      <c r="F101" s="107">
        <v>61</v>
      </c>
      <c r="G101" s="123">
        <v>244</v>
      </c>
      <c r="H101" s="44">
        <v>349</v>
      </c>
      <c r="I101" s="44"/>
      <c r="J101" s="114"/>
      <c r="K101" s="12">
        <f>(10*200)*1.06</f>
        <v>2120</v>
      </c>
      <c r="L101" s="115"/>
      <c r="M101" s="152"/>
      <c r="N101" s="115"/>
      <c r="O101" s="152"/>
      <c r="P101" s="114"/>
    </row>
    <row r="102" spans="1:16" s="111" customFormat="1" ht="26.4" x14ac:dyDescent="0.25">
      <c r="A102" s="38">
        <v>28</v>
      </c>
      <c r="B102" s="5" t="s">
        <v>130</v>
      </c>
      <c r="C102" s="107"/>
      <c r="D102" s="119"/>
      <c r="E102" s="124"/>
      <c r="F102" s="107">
        <v>61</v>
      </c>
      <c r="G102" s="124"/>
      <c r="H102" s="44"/>
      <c r="I102" s="44"/>
      <c r="J102" s="125"/>
      <c r="K102" s="11">
        <f>K103+K104</f>
        <v>4865</v>
      </c>
      <c r="L102" s="1"/>
      <c r="M102" s="167"/>
      <c r="N102" s="1"/>
      <c r="O102" s="167"/>
      <c r="P102" s="125"/>
    </row>
    <row r="103" spans="1:16" ht="30.6" x14ac:dyDescent="0.25">
      <c r="A103" s="39" t="s">
        <v>50</v>
      </c>
      <c r="B103" s="6" t="s">
        <v>201</v>
      </c>
      <c r="C103" s="105" t="s">
        <v>699</v>
      </c>
      <c r="D103" s="112" t="s">
        <v>700</v>
      </c>
      <c r="E103" s="105" t="s">
        <v>585</v>
      </c>
      <c r="F103" s="107">
        <v>61</v>
      </c>
      <c r="G103" s="123">
        <v>244</v>
      </c>
      <c r="H103" s="44">
        <v>349</v>
      </c>
      <c r="I103" s="44"/>
      <c r="J103" s="114"/>
      <c r="K103" s="12">
        <f>(3*1500)*1.06</f>
        <v>4770</v>
      </c>
      <c r="L103" s="115"/>
      <c r="M103" s="152">
        <v>4770</v>
      </c>
      <c r="N103" s="115"/>
      <c r="O103" s="152"/>
      <c r="P103" s="114"/>
    </row>
    <row r="104" spans="1:16" s="111" customFormat="1" ht="26.4" x14ac:dyDescent="0.25">
      <c r="A104" s="39" t="s">
        <v>51</v>
      </c>
      <c r="B104" s="6" t="s">
        <v>211</v>
      </c>
      <c r="C104" s="105" t="s">
        <v>699</v>
      </c>
      <c r="D104" s="113" t="s">
        <v>708</v>
      </c>
      <c r="E104" s="105"/>
      <c r="F104" s="107">
        <v>61</v>
      </c>
      <c r="G104" s="123">
        <v>244</v>
      </c>
      <c r="H104" s="44">
        <v>349</v>
      </c>
      <c r="I104" s="44"/>
      <c r="J104" s="114"/>
      <c r="K104" s="12">
        <f>INT((3*30)*1.06)</f>
        <v>95</v>
      </c>
      <c r="L104" s="115"/>
      <c r="M104" s="152"/>
      <c r="N104" s="115"/>
      <c r="O104" s="152"/>
      <c r="P104" s="114"/>
    </row>
    <row r="105" spans="1:16" ht="39.6" x14ac:dyDescent="0.25">
      <c r="A105" s="38">
        <v>29</v>
      </c>
      <c r="B105" s="5" t="s">
        <v>0</v>
      </c>
      <c r="C105" s="105"/>
      <c r="D105" s="113"/>
      <c r="E105" s="123"/>
      <c r="F105" s="107">
        <v>61</v>
      </c>
      <c r="G105" s="123"/>
      <c r="H105" s="44"/>
      <c r="I105" s="44"/>
      <c r="J105" s="114"/>
      <c r="K105" s="11">
        <f>K106</f>
        <v>12720</v>
      </c>
      <c r="L105" s="115"/>
      <c r="M105" s="152"/>
      <c r="N105" s="115"/>
      <c r="O105" s="152"/>
      <c r="P105" s="114"/>
    </row>
    <row r="106" spans="1:16" ht="40.799999999999997" x14ac:dyDescent="0.25">
      <c r="A106" s="39" t="s">
        <v>53</v>
      </c>
      <c r="B106" s="6" t="s">
        <v>40</v>
      </c>
      <c r="C106" s="112" t="s">
        <v>699</v>
      </c>
      <c r="D106" s="113" t="s">
        <v>700</v>
      </c>
      <c r="E106" s="105" t="s">
        <v>587</v>
      </c>
      <c r="F106" s="107">
        <v>61</v>
      </c>
      <c r="G106" s="123">
        <v>244</v>
      </c>
      <c r="H106" s="44">
        <v>226</v>
      </c>
      <c r="I106" s="44"/>
      <c r="J106" s="114"/>
      <c r="K106" s="12">
        <f>((4*1500)*2)*1.06</f>
        <v>12720</v>
      </c>
      <c r="L106" s="115"/>
      <c r="M106" s="152">
        <f>1320*8</f>
        <v>10560</v>
      </c>
      <c r="N106" s="115"/>
      <c r="O106" s="152">
        <v>7920</v>
      </c>
      <c r="P106" s="114"/>
    </row>
    <row r="107" spans="1:16" ht="79.2" x14ac:dyDescent="0.25">
      <c r="A107" s="38">
        <v>30</v>
      </c>
      <c r="B107" s="5" t="s">
        <v>244</v>
      </c>
      <c r="C107" s="105"/>
      <c r="D107" s="113"/>
      <c r="E107" s="123"/>
      <c r="F107" s="107">
        <v>61</v>
      </c>
      <c r="G107" s="123"/>
      <c r="H107" s="44"/>
      <c r="I107" s="44"/>
      <c r="J107" s="114"/>
      <c r="K107" s="11">
        <f>K108</f>
        <v>2120</v>
      </c>
      <c r="L107" s="115"/>
      <c r="M107" s="152"/>
      <c r="N107" s="115"/>
      <c r="O107" s="152"/>
      <c r="P107" s="114"/>
    </row>
    <row r="108" spans="1:16" s="111" customFormat="1" x14ac:dyDescent="0.25">
      <c r="A108" s="39" t="s">
        <v>395</v>
      </c>
      <c r="B108" s="6" t="s">
        <v>27</v>
      </c>
      <c r="C108" s="105" t="s">
        <v>699</v>
      </c>
      <c r="D108" s="113" t="s">
        <v>708</v>
      </c>
      <c r="E108" s="105"/>
      <c r="F108" s="107">
        <v>61</v>
      </c>
      <c r="G108" s="123">
        <v>244</v>
      </c>
      <c r="H108" s="44">
        <v>349</v>
      </c>
      <c r="I108" s="44"/>
      <c r="J108" s="114"/>
      <c r="K108" s="12">
        <f>(10*200)*1.06</f>
        <v>2120</v>
      </c>
      <c r="L108" s="115"/>
      <c r="M108" s="152"/>
      <c r="N108" s="115"/>
      <c r="O108" s="152"/>
      <c r="P108" s="114"/>
    </row>
    <row r="109" spans="1:16" ht="79.2" x14ac:dyDescent="0.25">
      <c r="A109" s="38">
        <v>31</v>
      </c>
      <c r="B109" s="5" t="s">
        <v>246</v>
      </c>
      <c r="C109" s="105"/>
      <c r="D109" s="113"/>
      <c r="E109" s="105"/>
      <c r="F109" s="107">
        <v>61</v>
      </c>
      <c r="G109" s="105"/>
      <c r="H109" s="44"/>
      <c r="I109" s="44"/>
      <c r="J109" s="114"/>
      <c r="K109" s="11">
        <f>K110</f>
        <v>2120</v>
      </c>
      <c r="L109" s="115"/>
      <c r="M109" s="152"/>
      <c r="N109" s="115"/>
      <c r="O109" s="152"/>
      <c r="P109" s="114"/>
    </row>
    <row r="110" spans="1:16" x14ac:dyDescent="0.25">
      <c r="A110" s="39" t="s">
        <v>396</v>
      </c>
      <c r="B110" s="6" t="s">
        <v>27</v>
      </c>
      <c r="C110" s="105" t="s">
        <v>699</v>
      </c>
      <c r="D110" s="113" t="s">
        <v>708</v>
      </c>
      <c r="E110" s="105"/>
      <c r="F110" s="107">
        <v>61</v>
      </c>
      <c r="G110" s="123">
        <v>244</v>
      </c>
      <c r="H110" s="44">
        <v>349</v>
      </c>
      <c r="I110" s="44"/>
      <c r="J110" s="114"/>
      <c r="K110" s="12">
        <f>(10*200)*1.06</f>
        <v>2120</v>
      </c>
      <c r="L110" s="115"/>
      <c r="M110" s="152"/>
      <c r="N110" s="115"/>
      <c r="O110" s="152"/>
      <c r="P110" s="114"/>
    </row>
    <row r="111" spans="1:16" ht="79.2" x14ac:dyDescent="0.25">
      <c r="A111" s="38">
        <v>32</v>
      </c>
      <c r="B111" s="5" t="s">
        <v>247</v>
      </c>
      <c r="C111" s="105"/>
      <c r="D111" s="113"/>
      <c r="E111" s="123"/>
      <c r="F111" s="107">
        <v>61</v>
      </c>
      <c r="G111" s="123"/>
      <c r="H111" s="44"/>
      <c r="I111" s="44"/>
      <c r="J111" s="114"/>
      <c r="K111" s="11">
        <f>K112</f>
        <v>20000</v>
      </c>
      <c r="L111" s="115"/>
      <c r="M111" s="152"/>
      <c r="N111" s="115"/>
      <c r="O111" s="152"/>
      <c r="P111" s="114"/>
    </row>
    <row r="112" spans="1:16" x14ac:dyDescent="0.25">
      <c r="A112" s="39" t="s">
        <v>245</v>
      </c>
      <c r="B112" s="6" t="s">
        <v>14</v>
      </c>
      <c r="C112" s="112" t="s">
        <v>700</v>
      </c>
      <c r="D112" s="112" t="s">
        <v>700</v>
      </c>
      <c r="E112" s="105"/>
      <c r="F112" s="107">
        <v>61</v>
      </c>
      <c r="G112" s="123">
        <v>244</v>
      </c>
      <c r="H112" s="44">
        <v>222</v>
      </c>
      <c r="I112" s="44"/>
      <c r="J112" s="114"/>
      <c r="K112" s="12">
        <f>10*2000</f>
        <v>20000</v>
      </c>
      <c r="L112" s="115"/>
      <c r="M112" s="152"/>
      <c r="N112" s="115"/>
      <c r="O112" s="152"/>
      <c r="P112" s="114"/>
    </row>
    <row r="113" spans="1:16" ht="26.4" x14ac:dyDescent="0.25">
      <c r="A113" s="38">
        <v>33</v>
      </c>
      <c r="B113" s="5" t="s">
        <v>248</v>
      </c>
      <c r="C113" s="105"/>
      <c r="D113" s="113"/>
      <c r="E113" s="105"/>
      <c r="F113" s="107">
        <v>61</v>
      </c>
      <c r="G113" s="105"/>
      <c r="H113" s="44"/>
      <c r="I113" s="44"/>
      <c r="J113" s="114"/>
      <c r="K113" s="11">
        <f>K114+K115+K116+K117</f>
        <v>83236</v>
      </c>
      <c r="L113" s="115"/>
      <c r="M113" s="152"/>
      <c r="N113" s="115"/>
      <c r="O113" s="152"/>
      <c r="P113" s="114"/>
    </row>
    <row r="114" spans="1:16" s="111" customFormat="1" ht="26.4" x14ac:dyDescent="0.25">
      <c r="A114" s="39" t="s">
        <v>55</v>
      </c>
      <c r="B114" s="6" t="s">
        <v>211</v>
      </c>
      <c r="C114" s="105" t="s">
        <v>699</v>
      </c>
      <c r="D114" s="113" t="s">
        <v>709</v>
      </c>
      <c r="E114" s="105"/>
      <c r="F114" s="107">
        <v>61</v>
      </c>
      <c r="G114" s="123">
        <v>244</v>
      </c>
      <c r="H114" s="44">
        <v>349</v>
      </c>
      <c r="I114" s="44"/>
      <c r="J114" s="114"/>
      <c r="K114" s="12">
        <f>(20*30)*1.06</f>
        <v>636</v>
      </c>
      <c r="L114" s="115"/>
      <c r="M114" s="152"/>
      <c r="N114" s="115"/>
      <c r="O114" s="152"/>
      <c r="P114" s="114"/>
    </row>
    <row r="115" spans="1:16" ht="40.799999999999997" x14ac:dyDescent="0.25">
      <c r="A115" s="39" t="s">
        <v>275</v>
      </c>
      <c r="B115" s="6" t="s">
        <v>44</v>
      </c>
      <c r="C115" s="105" t="s">
        <v>699</v>
      </c>
      <c r="D115" s="113" t="s">
        <v>709</v>
      </c>
      <c r="E115" s="105" t="s">
        <v>632</v>
      </c>
      <c r="F115" s="107">
        <v>61</v>
      </c>
      <c r="G115" s="123">
        <v>244</v>
      </c>
      <c r="H115" s="44">
        <v>349</v>
      </c>
      <c r="I115" s="44"/>
      <c r="J115" s="114"/>
      <c r="K115" s="12">
        <v>20000</v>
      </c>
      <c r="L115" s="115"/>
      <c r="M115" s="152">
        <v>20000</v>
      </c>
      <c r="N115" s="115"/>
      <c r="O115" s="152">
        <f>M115</f>
        <v>20000</v>
      </c>
      <c r="P115" s="114"/>
    </row>
    <row r="116" spans="1:16" ht="30.6" x14ac:dyDescent="0.25">
      <c r="A116" s="39" t="s">
        <v>629</v>
      </c>
      <c r="B116" s="6" t="s">
        <v>630</v>
      </c>
      <c r="C116" s="112" t="s">
        <v>699</v>
      </c>
      <c r="D116" s="112" t="s">
        <v>700</v>
      </c>
      <c r="E116" s="105" t="s">
        <v>631</v>
      </c>
      <c r="F116" s="107">
        <v>61</v>
      </c>
      <c r="G116" s="123">
        <v>244</v>
      </c>
      <c r="H116" s="44">
        <v>342</v>
      </c>
      <c r="I116" s="44"/>
      <c r="J116" s="114"/>
      <c r="K116" s="12">
        <v>54200</v>
      </c>
      <c r="L116" s="115"/>
      <c r="M116" s="152">
        <v>51903</v>
      </c>
      <c r="N116" s="115"/>
      <c r="O116" s="152">
        <f>M116</f>
        <v>51903</v>
      </c>
      <c r="P116" s="114"/>
    </row>
    <row r="117" spans="1:16" x14ac:dyDescent="0.25">
      <c r="A117" s="39" t="s">
        <v>397</v>
      </c>
      <c r="B117" s="6" t="s">
        <v>14</v>
      </c>
      <c r="C117" s="112" t="s">
        <v>700</v>
      </c>
      <c r="D117" s="112" t="s">
        <v>700</v>
      </c>
      <c r="E117" s="105"/>
      <c r="F117" s="107"/>
      <c r="G117" s="123">
        <v>244</v>
      </c>
      <c r="H117" s="44">
        <v>222</v>
      </c>
      <c r="I117" s="44"/>
      <c r="J117" s="114"/>
      <c r="K117" s="12">
        <f>6*1400</f>
        <v>8400</v>
      </c>
      <c r="L117" s="115"/>
      <c r="M117" s="152"/>
      <c r="N117" s="115"/>
      <c r="O117" s="152"/>
      <c r="P117" s="114"/>
    </row>
    <row r="118" spans="1:16" ht="26.4" x14ac:dyDescent="0.25">
      <c r="A118" s="38">
        <v>34</v>
      </c>
      <c r="B118" s="5" t="s">
        <v>132</v>
      </c>
      <c r="C118" s="105"/>
      <c r="D118" s="113"/>
      <c r="E118" s="105"/>
      <c r="F118" s="107">
        <v>61</v>
      </c>
      <c r="G118" s="105"/>
      <c r="H118" s="44"/>
      <c r="I118" s="44"/>
      <c r="J118" s="114"/>
      <c r="K118" s="11">
        <f>K119+K120+K121+K122</f>
        <v>20129</v>
      </c>
      <c r="L118" s="115"/>
      <c r="M118" s="152"/>
      <c r="N118" s="115"/>
      <c r="O118" s="152"/>
      <c r="P118" s="128"/>
    </row>
    <row r="119" spans="1:16" x14ac:dyDescent="0.25">
      <c r="A119" s="39" t="s">
        <v>398</v>
      </c>
      <c r="B119" s="6" t="s">
        <v>22</v>
      </c>
      <c r="C119" s="105" t="s">
        <v>699</v>
      </c>
      <c r="D119" s="113" t="s">
        <v>708</v>
      </c>
      <c r="E119" s="123"/>
      <c r="F119" s="107">
        <v>61</v>
      </c>
      <c r="G119" s="123">
        <v>244</v>
      </c>
      <c r="H119" s="44">
        <v>226</v>
      </c>
      <c r="I119" s="44"/>
      <c r="J119" s="114"/>
      <c r="K119" s="12">
        <v>6360</v>
      </c>
      <c r="L119" s="115"/>
      <c r="M119" s="152"/>
      <c r="N119" s="115"/>
      <c r="O119" s="152"/>
      <c r="P119" s="114"/>
    </row>
    <row r="120" spans="1:16" s="111" customFormat="1" ht="26.4" x14ac:dyDescent="0.25">
      <c r="A120" s="39" t="s">
        <v>399</v>
      </c>
      <c r="B120" s="6" t="s">
        <v>211</v>
      </c>
      <c r="C120" s="105" t="s">
        <v>699</v>
      </c>
      <c r="D120" s="113" t="s">
        <v>708</v>
      </c>
      <c r="E120" s="105"/>
      <c r="F120" s="107">
        <v>61</v>
      </c>
      <c r="G120" s="123">
        <v>244</v>
      </c>
      <c r="H120" s="44">
        <v>349</v>
      </c>
      <c r="I120" s="44"/>
      <c r="J120" s="114"/>
      <c r="K120" s="12">
        <f>INT((3*30)*1.06)</f>
        <v>95</v>
      </c>
      <c r="L120" s="115"/>
      <c r="M120" s="152"/>
      <c r="N120" s="115"/>
      <c r="O120" s="152"/>
      <c r="P120" s="114"/>
    </row>
    <row r="121" spans="1:16" x14ac:dyDescent="0.25">
      <c r="A121" s="39" t="s">
        <v>400</v>
      </c>
      <c r="B121" s="6" t="s">
        <v>44</v>
      </c>
      <c r="C121" s="105" t="s">
        <v>699</v>
      </c>
      <c r="D121" s="113" t="s">
        <v>708</v>
      </c>
      <c r="E121" s="105"/>
      <c r="F121" s="107">
        <v>61</v>
      </c>
      <c r="G121" s="123">
        <v>244</v>
      </c>
      <c r="H121" s="44">
        <v>349</v>
      </c>
      <c r="I121" s="44"/>
      <c r="J121" s="114"/>
      <c r="K121" s="12">
        <f>(3*800)*1.06</f>
        <v>2544</v>
      </c>
      <c r="L121" s="115"/>
      <c r="M121" s="152"/>
      <c r="N121" s="115"/>
      <c r="O121" s="152"/>
      <c r="P121" s="114"/>
    </row>
    <row r="122" spans="1:16" ht="30.6" x14ac:dyDescent="0.25">
      <c r="A122" s="39" t="s">
        <v>401</v>
      </c>
      <c r="B122" s="6" t="s">
        <v>201</v>
      </c>
      <c r="C122" s="105" t="s">
        <v>699</v>
      </c>
      <c r="D122" s="112" t="s">
        <v>700</v>
      </c>
      <c r="E122" s="105" t="s">
        <v>585</v>
      </c>
      <c r="F122" s="107">
        <v>61</v>
      </c>
      <c r="G122" s="123">
        <v>244</v>
      </c>
      <c r="H122" s="44">
        <v>349</v>
      </c>
      <c r="I122" s="44"/>
      <c r="J122" s="114"/>
      <c r="K122" s="12">
        <f>(7*1500)*1.06</f>
        <v>11130</v>
      </c>
      <c r="L122" s="115"/>
      <c r="M122" s="152">
        <v>11130</v>
      </c>
      <c r="N122" s="115"/>
      <c r="O122" s="152"/>
      <c r="P122" s="114"/>
    </row>
    <row r="123" spans="1:16" ht="26.4" x14ac:dyDescent="0.25">
      <c r="A123" s="38">
        <v>35</v>
      </c>
      <c r="B123" s="5" t="s">
        <v>133</v>
      </c>
      <c r="C123" s="112"/>
      <c r="D123" s="113"/>
      <c r="E123" s="105"/>
      <c r="F123" s="107">
        <v>61</v>
      </c>
      <c r="G123" s="105"/>
      <c r="H123" s="44"/>
      <c r="I123" s="44"/>
      <c r="J123" s="114"/>
      <c r="K123" s="11">
        <f>K124+K125+K126+K127</f>
        <v>79288</v>
      </c>
      <c r="L123" s="115"/>
      <c r="M123" s="152"/>
      <c r="N123" s="115"/>
      <c r="O123" s="152"/>
      <c r="P123" s="114"/>
    </row>
    <row r="124" spans="1:16" s="111" customFormat="1" ht="26.4" x14ac:dyDescent="0.25">
      <c r="A124" s="39" t="s">
        <v>402</v>
      </c>
      <c r="B124" s="6" t="s">
        <v>224</v>
      </c>
      <c r="C124" s="105" t="s">
        <v>699</v>
      </c>
      <c r="D124" s="113" t="s">
        <v>709</v>
      </c>
      <c r="E124" s="105"/>
      <c r="F124" s="107">
        <v>61</v>
      </c>
      <c r="G124" s="123">
        <v>244</v>
      </c>
      <c r="H124" s="44">
        <v>226</v>
      </c>
      <c r="I124" s="44"/>
      <c r="J124" s="114"/>
      <c r="K124" s="12">
        <f>(1*35000+15000)*1.06</f>
        <v>53000</v>
      </c>
      <c r="L124" s="115"/>
      <c r="M124" s="152"/>
      <c r="N124" s="115"/>
      <c r="O124" s="152"/>
      <c r="P124" s="114"/>
    </row>
    <row r="125" spans="1:16" x14ac:dyDescent="0.25">
      <c r="A125" s="39" t="s">
        <v>403</v>
      </c>
      <c r="B125" s="6" t="s">
        <v>12</v>
      </c>
      <c r="C125" s="105" t="s">
        <v>699</v>
      </c>
      <c r="D125" s="112" t="s">
        <v>709</v>
      </c>
      <c r="E125" s="105"/>
      <c r="F125" s="107">
        <v>61</v>
      </c>
      <c r="G125" s="123">
        <v>244</v>
      </c>
      <c r="H125" s="44">
        <v>342</v>
      </c>
      <c r="I125" s="44"/>
      <c r="J125" s="114"/>
      <c r="K125" s="12">
        <f>((70*100)+(25*100))*1.06</f>
        <v>10070</v>
      </c>
      <c r="L125" s="115"/>
      <c r="M125" s="152"/>
      <c r="N125" s="115"/>
      <c r="O125" s="152"/>
      <c r="P125" s="114"/>
    </row>
    <row r="126" spans="1:16" ht="26.4" x14ac:dyDescent="0.25">
      <c r="A126" s="39" t="s">
        <v>404</v>
      </c>
      <c r="B126" s="6" t="s">
        <v>211</v>
      </c>
      <c r="C126" s="105" t="s">
        <v>699</v>
      </c>
      <c r="D126" s="113" t="s">
        <v>709</v>
      </c>
      <c r="E126" s="105"/>
      <c r="F126" s="107">
        <v>61</v>
      </c>
      <c r="G126" s="123">
        <v>244</v>
      </c>
      <c r="H126" s="44">
        <v>349</v>
      </c>
      <c r="I126" s="44"/>
      <c r="J126" s="114"/>
      <c r="K126" s="12">
        <f>(10*30)*1.06</f>
        <v>318</v>
      </c>
      <c r="L126" s="115"/>
      <c r="M126" s="152"/>
      <c r="N126" s="115"/>
      <c r="O126" s="152"/>
      <c r="P126" s="114"/>
    </row>
    <row r="127" spans="1:16" ht="30.6" x14ac:dyDescent="0.25">
      <c r="A127" s="39" t="s">
        <v>405</v>
      </c>
      <c r="B127" s="6" t="s">
        <v>25</v>
      </c>
      <c r="C127" s="105" t="s">
        <v>699</v>
      </c>
      <c r="D127" s="113" t="s">
        <v>700</v>
      </c>
      <c r="E127" s="105" t="s">
        <v>590</v>
      </c>
      <c r="F127" s="107">
        <v>61</v>
      </c>
      <c r="G127" s="123">
        <v>244</v>
      </c>
      <c r="H127" s="44">
        <v>226</v>
      </c>
      <c r="I127" s="44"/>
      <c r="J127" s="114"/>
      <c r="K127" s="12">
        <f>(1*15000)*1.06</f>
        <v>15900</v>
      </c>
      <c r="L127" s="115"/>
      <c r="M127" s="152">
        <v>15250</v>
      </c>
      <c r="N127" s="115"/>
      <c r="O127" s="152"/>
      <c r="P127" s="114"/>
    </row>
    <row r="128" spans="1:16" s="111" customFormat="1" ht="26.4" x14ac:dyDescent="0.25">
      <c r="A128" s="38">
        <v>36</v>
      </c>
      <c r="B128" s="5" t="s">
        <v>135</v>
      </c>
      <c r="C128" s="105"/>
      <c r="D128" s="113"/>
      <c r="E128" s="124"/>
      <c r="F128" s="107">
        <v>61</v>
      </c>
      <c r="G128" s="124"/>
      <c r="H128" s="44"/>
      <c r="I128" s="44"/>
      <c r="J128" s="125"/>
      <c r="K128" s="11">
        <f>K129</f>
        <v>3180</v>
      </c>
      <c r="L128" s="1"/>
      <c r="M128" s="167"/>
      <c r="N128" s="1"/>
      <c r="O128" s="167"/>
      <c r="P128" s="125"/>
    </row>
    <row r="129" spans="1:16" ht="30.6" x14ac:dyDescent="0.25">
      <c r="A129" s="39" t="s">
        <v>406</v>
      </c>
      <c r="B129" s="6" t="s">
        <v>201</v>
      </c>
      <c r="C129" s="105" t="s">
        <v>699</v>
      </c>
      <c r="D129" s="112" t="s">
        <v>700</v>
      </c>
      <c r="E129" s="105" t="s">
        <v>585</v>
      </c>
      <c r="F129" s="107">
        <v>61</v>
      </c>
      <c r="G129" s="123">
        <v>244</v>
      </c>
      <c r="H129" s="44">
        <v>349</v>
      </c>
      <c r="I129" s="44"/>
      <c r="J129" s="114"/>
      <c r="K129" s="12">
        <f>(1*3000)*1.06</f>
        <v>3180</v>
      </c>
      <c r="L129" s="115"/>
      <c r="M129" s="152">
        <v>3000</v>
      </c>
      <c r="N129" s="115"/>
      <c r="O129" s="152"/>
      <c r="P129" s="114"/>
    </row>
    <row r="130" spans="1:16" s="111" customFormat="1" x14ac:dyDescent="0.25">
      <c r="A130" s="38">
        <v>37</v>
      </c>
      <c r="B130" s="5" t="s">
        <v>54</v>
      </c>
      <c r="C130" s="107"/>
      <c r="D130" s="119"/>
      <c r="E130" s="124"/>
      <c r="F130" s="107">
        <v>61</v>
      </c>
      <c r="G130" s="124"/>
      <c r="H130" s="44"/>
      <c r="I130" s="44"/>
      <c r="J130" s="125"/>
      <c r="K130" s="11">
        <f>K132+K131</f>
        <v>193450</v>
      </c>
      <c r="L130" s="1"/>
      <c r="M130" s="167"/>
      <c r="N130" s="1"/>
      <c r="O130" s="167"/>
      <c r="P130" s="125"/>
    </row>
    <row r="131" spans="1:16" ht="30.6" x14ac:dyDescent="0.25">
      <c r="A131" s="39" t="s">
        <v>407</v>
      </c>
      <c r="B131" s="6" t="s">
        <v>201</v>
      </c>
      <c r="C131" s="105" t="s">
        <v>699</v>
      </c>
      <c r="D131" s="112" t="s">
        <v>700</v>
      </c>
      <c r="E131" s="105" t="s">
        <v>585</v>
      </c>
      <c r="F131" s="107">
        <v>61</v>
      </c>
      <c r="G131" s="123">
        <v>244</v>
      </c>
      <c r="H131" s="44">
        <v>349</v>
      </c>
      <c r="I131" s="44"/>
      <c r="J131" s="114"/>
      <c r="K131" s="12">
        <f>(1500*15)*1.06</f>
        <v>23850</v>
      </c>
      <c r="L131" s="115"/>
      <c r="M131" s="152">
        <v>23850</v>
      </c>
      <c r="N131" s="115"/>
      <c r="O131" s="152"/>
      <c r="P131" s="114"/>
    </row>
    <row r="132" spans="1:16" s="111" customFormat="1" ht="71.400000000000006" x14ac:dyDescent="0.25">
      <c r="A132" s="39" t="s">
        <v>408</v>
      </c>
      <c r="B132" s="6" t="s">
        <v>44</v>
      </c>
      <c r="C132" s="113" t="s">
        <v>706</v>
      </c>
      <c r="D132" s="113" t="s">
        <v>706</v>
      </c>
      <c r="E132" s="105" t="s">
        <v>633</v>
      </c>
      <c r="F132" s="107">
        <v>61</v>
      </c>
      <c r="G132" s="123">
        <v>244</v>
      </c>
      <c r="H132" s="44">
        <v>349</v>
      </c>
      <c r="I132" s="44"/>
      <c r="J132" s="114"/>
      <c r="K132" s="12">
        <f>(200*800)*1.06</f>
        <v>169600</v>
      </c>
      <c r="L132" s="115"/>
      <c r="M132" s="152">
        <v>23142</v>
      </c>
      <c r="N132" s="115"/>
      <c r="O132" s="152">
        <f>M132</f>
        <v>23142</v>
      </c>
      <c r="P132" s="114"/>
    </row>
    <row r="133" spans="1:16" ht="66" x14ac:dyDescent="0.25">
      <c r="A133" s="38">
        <v>38</v>
      </c>
      <c r="B133" s="5" t="s">
        <v>249</v>
      </c>
      <c r="C133" s="105"/>
      <c r="D133" s="113"/>
      <c r="E133" s="105"/>
      <c r="F133" s="107">
        <v>61</v>
      </c>
      <c r="G133" s="105"/>
      <c r="H133" s="44"/>
      <c r="I133" s="44"/>
      <c r="J133" s="114"/>
      <c r="K133" s="11">
        <f>K134</f>
        <v>63600</v>
      </c>
      <c r="L133" s="115"/>
      <c r="M133" s="152"/>
      <c r="N133" s="115"/>
      <c r="O133" s="152"/>
      <c r="P133" s="114"/>
    </row>
    <row r="134" spans="1:16" x14ac:dyDescent="0.25">
      <c r="A134" s="39" t="s">
        <v>409</v>
      </c>
      <c r="B134" s="6" t="s">
        <v>27</v>
      </c>
      <c r="C134" s="105" t="s">
        <v>699</v>
      </c>
      <c r="D134" s="113" t="s">
        <v>708</v>
      </c>
      <c r="E134" s="105"/>
      <c r="F134" s="107">
        <v>61</v>
      </c>
      <c r="G134" s="123">
        <v>244</v>
      </c>
      <c r="H134" s="44">
        <v>349</v>
      </c>
      <c r="I134" s="44"/>
      <c r="J134" s="114"/>
      <c r="K134" s="12">
        <f>((20*5*4*3)*50)*1.06</f>
        <v>63600</v>
      </c>
      <c r="L134" s="115"/>
      <c r="M134" s="152"/>
      <c r="N134" s="115"/>
      <c r="O134" s="152"/>
      <c r="P134" s="114"/>
    </row>
    <row r="135" spans="1:16" s="111" customFormat="1" ht="26.4" x14ac:dyDescent="0.25">
      <c r="A135" s="38">
        <v>39</v>
      </c>
      <c r="B135" s="5" t="s">
        <v>137</v>
      </c>
      <c r="C135" s="107"/>
      <c r="D135" s="119"/>
      <c r="E135" s="124"/>
      <c r="F135" s="107">
        <v>61</v>
      </c>
      <c r="G135" s="124"/>
      <c r="H135" s="44"/>
      <c r="I135" s="44"/>
      <c r="J135" s="125"/>
      <c r="K135" s="11">
        <f>K136</f>
        <v>6360</v>
      </c>
      <c r="L135" s="1"/>
      <c r="M135" s="167"/>
      <c r="N135" s="1"/>
      <c r="O135" s="167"/>
      <c r="P135" s="125"/>
    </row>
    <row r="136" spans="1:16" ht="30.6" x14ac:dyDescent="0.25">
      <c r="A136" s="39" t="s">
        <v>410</v>
      </c>
      <c r="B136" s="6" t="s">
        <v>201</v>
      </c>
      <c r="C136" s="105" t="s">
        <v>699</v>
      </c>
      <c r="D136" s="112" t="s">
        <v>700</v>
      </c>
      <c r="E136" s="105" t="s">
        <v>585</v>
      </c>
      <c r="F136" s="107">
        <v>61</v>
      </c>
      <c r="G136" s="123">
        <v>244</v>
      </c>
      <c r="H136" s="44">
        <v>349</v>
      </c>
      <c r="I136" s="44"/>
      <c r="J136" s="114"/>
      <c r="K136" s="12">
        <f>((60*50)+ 3000)*1.06</f>
        <v>6360</v>
      </c>
      <c r="L136" s="115"/>
      <c r="M136" s="152">
        <v>6350</v>
      </c>
      <c r="N136" s="115"/>
      <c r="O136" s="152"/>
      <c r="P136" s="114"/>
    </row>
    <row r="137" spans="1:16" ht="39.6" x14ac:dyDescent="0.25">
      <c r="A137" s="38">
        <v>40</v>
      </c>
      <c r="B137" s="5" t="s">
        <v>250</v>
      </c>
      <c r="C137" s="105"/>
      <c r="D137" s="113"/>
      <c r="E137" s="123"/>
      <c r="F137" s="107">
        <v>61</v>
      </c>
      <c r="G137" s="123"/>
      <c r="H137" s="44"/>
      <c r="I137" s="44"/>
      <c r="J137" s="114"/>
      <c r="K137" s="11">
        <f>K138</f>
        <v>265000</v>
      </c>
      <c r="L137" s="115"/>
      <c r="M137" s="152"/>
      <c r="N137" s="115"/>
      <c r="O137" s="152"/>
      <c r="P137" s="114"/>
    </row>
    <row r="138" spans="1:16" s="111" customFormat="1" x14ac:dyDescent="0.25">
      <c r="A138" s="39" t="s">
        <v>411</v>
      </c>
      <c r="B138" s="6" t="s">
        <v>121</v>
      </c>
      <c r="C138" s="105" t="s">
        <v>699</v>
      </c>
      <c r="D138" s="113" t="s">
        <v>702</v>
      </c>
      <c r="E138" s="105"/>
      <c r="F138" s="107">
        <v>61</v>
      </c>
      <c r="G138" s="123">
        <v>244</v>
      </c>
      <c r="H138" s="44">
        <v>226</v>
      </c>
      <c r="I138" s="44"/>
      <c r="J138" s="114"/>
      <c r="K138" s="12">
        <v>265000</v>
      </c>
      <c r="L138" s="115"/>
      <c r="M138" s="152"/>
      <c r="N138" s="115"/>
      <c r="O138" s="152"/>
      <c r="P138" s="114"/>
    </row>
    <row r="139" spans="1:16" ht="39.6" x14ac:dyDescent="0.25">
      <c r="A139" s="38">
        <v>41</v>
      </c>
      <c r="B139" s="5" t="s">
        <v>138</v>
      </c>
      <c r="C139" s="112"/>
      <c r="D139" s="113"/>
      <c r="E139" s="105"/>
      <c r="F139" s="107">
        <v>61</v>
      </c>
      <c r="G139" s="105"/>
      <c r="H139" s="44"/>
      <c r="I139" s="44"/>
      <c r="J139" s="114"/>
      <c r="K139" s="11">
        <f>K140</f>
        <v>7950</v>
      </c>
      <c r="L139" s="115"/>
      <c r="M139" s="152"/>
      <c r="N139" s="115"/>
      <c r="O139" s="152"/>
      <c r="P139" s="114"/>
    </row>
    <row r="140" spans="1:16" s="111" customFormat="1" x14ac:dyDescent="0.25">
      <c r="A140" s="39" t="s">
        <v>412</v>
      </c>
      <c r="B140" s="6" t="s">
        <v>41</v>
      </c>
      <c r="C140" s="105" t="s">
        <v>699</v>
      </c>
      <c r="D140" s="113" t="s">
        <v>710</v>
      </c>
      <c r="E140" s="123"/>
      <c r="F140" s="107">
        <v>61</v>
      </c>
      <c r="G140" s="123">
        <v>244</v>
      </c>
      <c r="H140" s="44">
        <v>226</v>
      </c>
      <c r="I140" s="44"/>
      <c r="J140" s="114"/>
      <c r="K140" s="12">
        <f>(30*250)*1.06</f>
        <v>7950</v>
      </c>
      <c r="L140" s="115"/>
      <c r="M140" s="152"/>
      <c r="N140" s="115"/>
      <c r="O140" s="152"/>
      <c r="P140" s="114"/>
    </row>
    <row r="141" spans="1:16" ht="26.4" x14ac:dyDescent="0.25">
      <c r="A141" s="38">
        <v>42</v>
      </c>
      <c r="B141" s="5" t="s">
        <v>139</v>
      </c>
      <c r="C141" s="112"/>
      <c r="D141" s="113"/>
      <c r="E141" s="105"/>
      <c r="F141" s="107">
        <v>61</v>
      </c>
      <c r="G141" s="105"/>
      <c r="H141" s="44"/>
      <c r="I141" s="44"/>
      <c r="J141" s="114"/>
      <c r="K141" s="11">
        <f>K142</f>
        <v>240000</v>
      </c>
      <c r="L141" s="115"/>
      <c r="M141" s="152"/>
      <c r="N141" s="115"/>
      <c r="O141" s="152"/>
      <c r="P141" s="114"/>
    </row>
    <row r="142" spans="1:16" s="111" customFormat="1" x14ac:dyDescent="0.25">
      <c r="A142" s="39" t="s">
        <v>413</v>
      </c>
      <c r="B142" s="6" t="s">
        <v>14</v>
      </c>
      <c r="C142" s="112" t="s">
        <v>699</v>
      </c>
      <c r="D142" s="112" t="s">
        <v>709</v>
      </c>
      <c r="E142" s="105"/>
      <c r="F142" s="107">
        <v>61</v>
      </c>
      <c r="G142" s="123">
        <v>244</v>
      </c>
      <c r="H142" s="44">
        <v>222</v>
      </c>
      <c r="I142" s="44"/>
      <c r="J142" s="114"/>
      <c r="K142" s="12">
        <f>(12*10)*2000</f>
        <v>240000</v>
      </c>
      <c r="L142" s="115"/>
      <c r="M142" s="152"/>
      <c r="N142" s="115"/>
      <c r="O142" s="152"/>
      <c r="P142" s="114"/>
    </row>
    <row r="143" spans="1:16" ht="26.4" x14ac:dyDescent="0.25">
      <c r="A143" s="38">
        <v>43</v>
      </c>
      <c r="B143" s="5" t="s">
        <v>141</v>
      </c>
      <c r="C143" s="105"/>
      <c r="D143" s="113"/>
      <c r="E143" s="105"/>
      <c r="F143" s="107">
        <v>61</v>
      </c>
      <c r="G143" s="105"/>
      <c r="H143" s="44"/>
      <c r="I143" s="44"/>
      <c r="J143" s="114"/>
      <c r="K143" s="11">
        <f>K144+K145+K146</f>
        <v>84518</v>
      </c>
      <c r="L143" s="115"/>
      <c r="M143" s="152"/>
      <c r="N143" s="115"/>
      <c r="O143" s="152"/>
      <c r="P143" s="114"/>
    </row>
    <row r="144" spans="1:16" ht="26.4" x14ac:dyDescent="0.25">
      <c r="A144" s="42" t="s">
        <v>414</v>
      </c>
      <c r="B144" s="6" t="s">
        <v>211</v>
      </c>
      <c r="C144" s="112" t="s">
        <v>699</v>
      </c>
      <c r="D144" s="113" t="s">
        <v>711</v>
      </c>
      <c r="E144" s="105"/>
      <c r="F144" s="107">
        <v>61</v>
      </c>
      <c r="G144" s="123">
        <v>244</v>
      </c>
      <c r="H144" s="44">
        <v>349</v>
      </c>
      <c r="I144" s="44"/>
      <c r="J144" s="114"/>
      <c r="K144" s="12">
        <f>(10*30)*1.06</f>
        <v>318</v>
      </c>
      <c r="L144" s="115"/>
      <c r="M144" s="152"/>
      <c r="N144" s="115"/>
      <c r="O144" s="152"/>
      <c r="P144" s="114"/>
    </row>
    <row r="145" spans="1:16" x14ac:dyDescent="0.25">
      <c r="A145" s="42" t="s">
        <v>415</v>
      </c>
      <c r="B145" s="6" t="s">
        <v>27</v>
      </c>
      <c r="C145" s="105" t="s">
        <v>699</v>
      </c>
      <c r="D145" s="113" t="s">
        <v>711</v>
      </c>
      <c r="E145" s="105"/>
      <c r="F145" s="107">
        <v>61</v>
      </c>
      <c r="G145" s="123">
        <v>244</v>
      </c>
      <c r="H145" s="44">
        <v>349</v>
      </c>
      <c r="I145" s="44"/>
      <c r="J145" s="114"/>
      <c r="K145" s="12">
        <f>(100*700)*1.06</f>
        <v>74200</v>
      </c>
      <c r="L145" s="115"/>
      <c r="M145" s="152"/>
      <c r="N145" s="115"/>
      <c r="O145" s="152"/>
      <c r="P145" s="114"/>
    </row>
    <row r="146" spans="1:16" x14ac:dyDescent="0.25">
      <c r="A146" s="42" t="s">
        <v>416</v>
      </c>
      <c r="B146" s="6" t="s">
        <v>14</v>
      </c>
      <c r="C146" s="112" t="s">
        <v>700</v>
      </c>
      <c r="D146" s="112" t="s">
        <v>700</v>
      </c>
      <c r="E146" s="105"/>
      <c r="F146" s="107">
        <v>61</v>
      </c>
      <c r="G146" s="123">
        <v>244</v>
      </c>
      <c r="H146" s="44">
        <v>222</v>
      </c>
      <c r="I146" s="44"/>
      <c r="J146" s="114"/>
      <c r="K146" s="12">
        <f>10*1000</f>
        <v>10000</v>
      </c>
      <c r="L146" s="115"/>
      <c r="M146" s="152"/>
      <c r="N146" s="115"/>
      <c r="O146" s="152"/>
      <c r="P146" s="114"/>
    </row>
    <row r="147" spans="1:16" ht="39.6" x14ac:dyDescent="0.25">
      <c r="A147" s="38">
        <v>44</v>
      </c>
      <c r="B147" s="5" t="s">
        <v>123</v>
      </c>
      <c r="C147" s="105"/>
      <c r="D147" s="113"/>
      <c r="E147" s="105"/>
      <c r="F147" s="107">
        <v>61</v>
      </c>
      <c r="G147" s="105"/>
      <c r="H147" s="44"/>
      <c r="I147" s="44"/>
      <c r="J147" s="114"/>
      <c r="K147" s="11">
        <f>K148</f>
        <v>20000</v>
      </c>
      <c r="L147" s="115"/>
      <c r="M147" s="152"/>
      <c r="N147" s="115"/>
      <c r="O147" s="152"/>
      <c r="P147" s="114"/>
    </row>
    <row r="148" spans="1:16" x14ac:dyDescent="0.25">
      <c r="A148" s="39" t="s">
        <v>417</v>
      </c>
      <c r="B148" s="6" t="s">
        <v>14</v>
      </c>
      <c r="C148" s="113" t="s">
        <v>700</v>
      </c>
      <c r="D148" s="113" t="s">
        <v>700</v>
      </c>
      <c r="E148" s="105"/>
      <c r="F148" s="107">
        <v>61</v>
      </c>
      <c r="G148" s="123">
        <v>244</v>
      </c>
      <c r="H148" s="44">
        <v>222</v>
      </c>
      <c r="I148" s="44"/>
      <c r="J148" s="114"/>
      <c r="K148" s="12">
        <f>10*2000</f>
        <v>20000</v>
      </c>
      <c r="L148" s="115"/>
      <c r="M148" s="152"/>
      <c r="N148" s="115"/>
      <c r="O148" s="152"/>
      <c r="P148" s="114"/>
    </row>
    <row r="149" spans="1:16" ht="26.4" x14ac:dyDescent="0.25">
      <c r="A149" s="38">
        <v>45</v>
      </c>
      <c r="B149" s="5" t="s">
        <v>251</v>
      </c>
      <c r="C149" s="105"/>
      <c r="D149" s="113"/>
      <c r="E149" s="105"/>
      <c r="F149" s="107">
        <v>61</v>
      </c>
      <c r="G149" s="105"/>
      <c r="H149" s="44"/>
      <c r="I149" s="44"/>
      <c r="J149" s="114"/>
      <c r="K149" s="14">
        <f>SUM(K150:K151)</f>
        <v>13360</v>
      </c>
      <c r="L149" s="115"/>
      <c r="M149" s="152"/>
      <c r="N149" s="115"/>
      <c r="O149" s="152"/>
      <c r="P149" s="114"/>
    </row>
    <row r="150" spans="1:16" s="111" customFormat="1" ht="30.6" x14ac:dyDescent="0.25">
      <c r="A150" s="39" t="s">
        <v>418</v>
      </c>
      <c r="B150" s="6" t="s">
        <v>201</v>
      </c>
      <c r="C150" s="105" t="s">
        <v>699</v>
      </c>
      <c r="D150" s="113" t="s">
        <v>700</v>
      </c>
      <c r="E150" s="105" t="s">
        <v>585</v>
      </c>
      <c r="F150" s="107">
        <v>61</v>
      </c>
      <c r="G150" s="123">
        <v>244</v>
      </c>
      <c r="H150" s="44">
        <v>349</v>
      </c>
      <c r="I150" s="44"/>
      <c r="J150" s="125"/>
      <c r="K150" s="12">
        <f>((60*50)+ 3000)*1.06</f>
        <v>6360</v>
      </c>
      <c r="L150" s="1"/>
      <c r="M150" s="152">
        <v>6350</v>
      </c>
      <c r="N150" s="1"/>
      <c r="O150" s="167"/>
      <c r="P150" s="125"/>
    </row>
    <row r="151" spans="1:16" x14ac:dyDescent="0.25">
      <c r="A151" s="39" t="s">
        <v>143</v>
      </c>
      <c r="B151" s="6" t="s">
        <v>14</v>
      </c>
      <c r="C151" s="113" t="s">
        <v>700</v>
      </c>
      <c r="D151" s="113" t="s">
        <v>700</v>
      </c>
      <c r="E151" s="105"/>
      <c r="F151" s="107">
        <v>61</v>
      </c>
      <c r="G151" s="123">
        <v>244</v>
      </c>
      <c r="H151" s="44">
        <v>222</v>
      </c>
      <c r="I151" s="44"/>
      <c r="J151" s="114"/>
      <c r="K151" s="12">
        <f>7*1000</f>
        <v>7000</v>
      </c>
      <c r="L151" s="115"/>
      <c r="M151" s="152"/>
      <c r="N151" s="115"/>
      <c r="O151" s="152"/>
      <c r="P151" s="114"/>
    </row>
    <row r="152" spans="1:16" s="111" customFormat="1" ht="39.6" x14ac:dyDescent="0.25">
      <c r="A152" s="38">
        <v>46</v>
      </c>
      <c r="B152" s="5" t="s">
        <v>123</v>
      </c>
      <c r="C152" s="119"/>
      <c r="D152" s="119"/>
      <c r="E152" s="124"/>
      <c r="F152" s="107">
        <v>61</v>
      </c>
      <c r="G152" s="124"/>
      <c r="H152" s="44"/>
      <c r="I152" s="44"/>
      <c r="J152" s="125"/>
      <c r="K152" s="11">
        <f>K153</f>
        <v>20000</v>
      </c>
      <c r="L152" s="1"/>
      <c r="M152" s="167"/>
      <c r="N152" s="1"/>
      <c r="O152" s="167"/>
      <c r="P152" s="125"/>
    </row>
    <row r="153" spans="1:16" x14ac:dyDescent="0.25">
      <c r="A153" s="39" t="s">
        <v>419</v>
      </c>
      <c r="B153" s="6" t="s">
        <v>14</v>
      </c>
      <c r="C153" s="113" t="s">
        <v>700</v>
      </c>
      <c r="D153" s="113" t="s">
        <v>700</v>
      </c>
      <c r="E153" s="105"/>
      <c r="F153" s="107">
        <v>61</v>
      </c>
      <c r="G153" s="123">
        <v>244</v>
      </c>
      <c r="H153" s="44">
        <v>222</v>
      </c>
      <c r="I153" s="44"/>
      <c r="J153" s="114"/>
      <c r="K153" s="12">
        <f>10*2000</f>
        <v>20000</v>
      </c>
      <c r="L153" s="115"/>
      <c r="M153" s="152"/>
      <c r="N153" s="115"/>
      <c r="O153" s="152"/>
      <c r="P153" s="114"/>
    </row>
    <row r="154" spans="1:16" ht="92.4" x14ac:dyDescent="0.25">
      <c r="A154" s="40" t="s">
        <v>420</v>
      </c>
      <c r="B154" s="5" t="s">
        <v>253</v>
      </c>
      <c r="C154" s="105"/>
      <c r="D154" s="112"/>
      <c r="E154" s="105"/>
      <c r="F154" s="107">
        <v>61</v>
      </c>
      <c r="G154" s="105"/>
      <c r="H154" s="44"/>
      <c r="I154" s="44"/>
      <c r="J154" s="114"/>
      <c r="K154" s="11">
        <f>K155</f>
        <v>6000</v>
      </c>
      <c r="L154" s="115"/>
      <c r="M154" s="152"/>
      <c r="N154" s="115"/>
      <c r="O154" s="152"/>
      <c r="P154" s="114"/>
    </row>
    <row r="155" spans="1:16" x14ac:dyDescent="0.25">
      <c r="A155" s="39" t="s">
        <v>421</v>
      </c>
      <c r="B155" s="6" t="s">
        <v>14</v>
      </c>
      <c r="C155" s="112" t="s">
        <v>700</v>
      </c>
      <c r="D155" s="112" t="s">
        <v>700</v>
      </c>
      <c r="E155" s="105"/>
      <c r="F155" s="107">
        <v>61</v>
      </c>
      <c r="G155" s="123">
        <v>244</v>
      </c>
      <c r="H155" s="44">
        <v>222</v>
      </c>
      <c r="I155" s="44"/>
      <c r="J155" s="114"/>
      <c r="K155" s="12">
        <f>6*1000</f>
        <v>6000</v>
      </c>
      <c r="L155" s="115"/>
      <c r="M155" s="152"/>
      <c r="N155" s="115"/>
      <c r="O155" s="152"/>
      <c r="P155" s="114"/>
    </row>
    <row r="156" spans="1:16" ht="26.4" x14ac:dyDescent="0.25">
      <c r="A156" s="38">
        <v>48</v>
      </c>
      <c r="B156" s="5" t="s">
        <v>142</v>
      </c>
      <c r="C156" s="105"/>
      <c r="D156" s="113"/>
      <c r="E156" s="105"/>
      <c r="F156" s="107">
        <v>61</v>
      </c>
      <c r="G156" s="105"/>
      <c r="H156" s="44"/>
      <c r="I156" s="44"/>
      <c r="J156" s="114"/>
      <c r="K156" s="14">
        <f>SUM(K157:K165)</f>
        <v>79661</v>
      </c>
      <c r="L156" s="115"/>
      <c r="M156" s="152"/>
      <c r="N156" s="115"/>
      <c r="O156" s="152"/>
      <c r="P156" s="114"/>
    </row>
    <row r="157" spans="1:16" ht="39.6" x14ac:dyDescent="0.25">
      <c r="A157" s="42" t="s">
        <v>422</v>
      </c>
      <c r="B157" s="6" t="s">
        <v>115</v>
      </c>
      <c r="C157" s="105" t="s">
        <v>699</v>
      </c>
      <c r="D157" s="113" t="s">
        <v>711</v>
      </c>
      <c r="E157" s="105"/>
      <c r="F157" s="107">
        <v>61</v>
      </c>
      <c r="G157" s="123">
        <v>244</v>
      </c>
      <c r="H157" s="44">
        <v>226</v>
      </c>
      <c r="I157" s="44"/>
      <c r="J157" s="114"/>
      <c r="K157" s="13">
        <f>35000+(2*6000)*1.06</f>
        <v>47720</v>
      </c>
      <c r="L157" s="115"/>
      <c r="M157" s="152"/>
      <c r="N157" s="115"/>
      <c r="O157" s="152"/>
      <c r="P157" s="114"/>
    </row>
    <row r="158" spans="1:16" ht="26.4" x14ac:dyDescent="0.25">
      <c r="A158" s="42" t="s">
        <v>252</v>
      </c>
      <c r="B158" s="6" t="s">
        <v>224</v>
      </c>
      <c r="C158" s="112"/>
      <c r="D158" s="113"/>
      <c r="E158" s="105"/>
      <c r="F158" s="107">
        <v>61</v>
      </c>
      <c r="G158" s="123">
        <v>244</v>
      </c>
      <c r="H158" s="44"/>
      <c r="I158" s="44"/>
      <c r="J158" s="114"/>
      <c r="K158" s="13">
        <v>0</v>
      </c>
      <c r="L158" s="115"/>
      <c r="M158" s="152"/>
      <c r="N158" s="115"/>
      <c r="O158" s="152"/>
      <c r="P158" s="114"/>
    </row>
    <row r="159" spans="1:16" s="111" customFormat="1" x14ac:dyDescent="0.25">
      <c r="A159" s="42" t="s">
        <v>423</v>
      </c>
      <c r="B159" s="6" t="s">
        <v>22</v>
      </c>
      <c r="C159" s="105"/>
      <c r="D159" s="113"/>
      <c r="E159" s="105"/>
      <c r="F159" s="107">
        <v>61</v>
      </c>
      <c r="G159" s="123">
        <v>244</v>
      </c>
      <c r="H159" s="44"/>
      <c r="I159" s="44"/>
      <c r="J159" s="114"/>
      <c r="K159" s="13">
        <v>0</v>
      </c>
      <c r="L159" s="115"/>
      <c r="M159" s="152"/>
      <c r="N159" s="115"/>
      <c r="O159" s="152"/>
      <c r="P159" s="114"/>
    </row>
    <row r="160" spans="1:16" x14ac:dyDescent="0.25">
      <c r="A160" s="39" t="s">
        <v>424</v>
      </c>
      <c r="B160" s="6" t="s">
        <v>12</v>
      </c>
      <c r="C160" s="112" t="s">
        <v>699</v>
      </c>
      <c r="D160" s="113" t="s">
        <v>711</v>
      </c>
      <c r="E160" s="105"/>
      <c r="F160" s="107">
        <v>61</v>
      </c>
      <c r="G160" s="123">
        <v>244</v>
      </c>
      <c r="H160" s="44">
        <v>342</v>
      </c>
      <c r="I160" s="44"/>
      <c r="J160" s="114"/>
      <c r="K160" s="12">
        <f>((70*150)+(25*150))*1.06</f>
        <v>15105</v>
      </c>
      <c r="L160" s="115"/>
      <c r="M160" s="152"/>
      <c r="N160" s="115"/>
      <c r="O160" s="152"/>
      <c r="P160" s="114"/>
    </row>
    <row r="161" spans="1:16" s="111" customFormat="1" ht="26.4" x14ac:dyDescent="0.25">
      <c r="A161" s="39" t="s">
        <v>425</v>
      </c>
      <c r="B161" s="6" t="s">
        <v>211</v>
      </c>
      <c r="C161" s="105" t="s">
        <v>699</v>
      </c>
      <c r="D161" s="112" t="s">
        <v>711</v>
      </c>
      <c r="E161" s="105"/>
      <c r="F161" s="107">
        <v>61</v>
      </c>
      <c r="G161" s="123">
        <v>244</v>
      </c>
      <c r="H161" s="44">
        <v>349</v>
      </c>
      <c r="I161" s="44"/>
      <c r="J161" s="125"/>
      <c r="K161" s="12">
        <f>(20*30)*1.06</f>
        <v>636</v>
      </c>
      <c r="L161" s="1"/>
      <c r="M161" s="152"/>
      <c r="N161" s="115"/>
      <c r="O161" s="152"/>
      <c r="P161" s="114"/>
    </row>
    <row r="162" spans="1:16" ht="26.4" x14ac:dyDescent="0.25">
      <c r="A162" s="39" t="s">
        <v>426</v>
      </c>
      <c r="B162" s="6" t="s">
        <v>211</v>
      </c>
      <c r="C162" s="105"/>
      <c r="D162" s="113"/>
      <c r="E162" s="105"/>
      <c r="F162" s="107">
        <v>61</v>
      </c>
      <c r="G162" s="123">
        <v>244</v>
      </c>
      <c r="H162" s="44">
        <v>349</v>
      </c>
      <c r="I162" s="44"/>
      <c r="J162" s="114"/>
      <c r="K162" s="12">
        <v>0</v>
      </c>
      <c r="L162" s="115"/>
      <c r="M162" s="152"/>
      <c r="N162" s="115"/>
      <c r="O162" s="152"/>
      <c r="P162" s="114"/>
    </row>
    <row r="163" spans="1:16" x14ac:dyDescent="0.25">
      <c r="A163" s="39" t="s">
        <v>427</v>
      </c>
      <c r="B163" s="6" t="s">
        <v>204</v>
      </c>
      <c r="C163" s="105"/>
      <c r="D163" s="113"/>
      <c r="E163" s="105"/>
      <c r="F163" s="107">
        <v>61</v>
      </c>
      <c r="G163" s="123">
        <v>244</v>
      </c>
      <c r="H163" s="44">
        <v>226</v>
      </c>
      <c r="I163" s="44"/>
      <c r="J163" s="114"/>
      <c r="K163" s="12">
        <v>0</v>
      </c>
      <c r="L163" s="115"/>
      <c r="M163" s="152"/>
      <c r="N163" s="115"/>
      <c r="O163" s="152"/>
      <c r="P163" s="114"/>
    </row>
    <row r="164" spans="1:16" s="111" customFormat="1" x14ac:dyDescent="0.25">
      <c r="A164" s="39" t="s">
        <v>428</v>
      </c>
      <c r="B164" s="6" t="s">
        <v>14</v>
      </c>
      <c r="C164" s="112" t="s">
        <v>700</v>
      </c>
      <c r="D164" s="112" t="s">
        <v>700</v>
      </c>
      <c r="E164" s="124"/>
      <c r="F164" s="107">
        <v>61</v>
      </c>
      <c r="G164" s="123">
        <v>244</v>
      </c>
      <c r="H164" s="44">
        <v>222</v>
      </c>
      <c r="I164" s="44"/>
      <c r="J164" s="125"/>
      <c r="K164" s="12">
        <f>4*1400</f>
        <v>5600</v>
      </c>
      <c r="L164" s="1"/>
      <c r="M164" s="167"/>
      <c r="N164" s="1"/>
      <c r="O164" s="167"/>
      <c r="P164" s="125"/>
    </row>
    <row r="165" spans="1:16" x14ac:dyDescent="0.25">
      <c r="A165" s="39" t="s">
        <v>429</v>
      </c>
      <c r="B165" s="6" t="s">
        <v>199</v>
      </c>
      <c r="C165" s="105" t="s">
        <v>699</v>
      </c>
      <c r="D165" s="113" t="s">
        <v>711</v>
      </c>
      <c r="E165" s="105"/>
      <c r="F165" s="107">
        <v>61</v>
      </c>
      <c r="G165" s="123">
        <v>244</v>
      </c>
      <c r="H165" s="44">
        <v>226</v>
      </c>
      <c r="I165" s="44"/>
      <c r="J165" s="114"/>
      <c r="K165" s="12">
        <f>(2*5000)*1.06</f>
        <v>10600</v>
      </c>
      <c r="L165" s="115"/>
      <c r="M165" s="152"/>
      <c r="N165" s="115"/>
      <c r="O165" s="152"/>
      <c r="P165" s="114"/>
    </row>
    <row r="166" spans="1:16" s="111" customFormat="1" ht="79.2" x14ac:dyDescent="0.25">
      <c r="A166" s="40" t="s">
        <v>430</v>
      </c>
      <c r="B166" s="5" t="s">
        <v>247</v>
      </c>
      <c r="C166" s="105"/>
      <c r="D166" s="113"/>
      <c r="E166" s="123"/>
      <c r="F166" s="107">
        <v>61</v>
      </c>
      <c r="G166" s="123"/>
      <c r="H166" s="44"/>
      <c r="I166" s="44"/>
      <c r="J166" s="114"/>
      <c r="K166" s="11">
        <f>K167</f>
        <v>40000</v>
      </c>
      <c r="L166" s="115"/>
      <c r="M166" s="152"/>
      <c r="N166" s="115"/>
      <c r="O166" s="152"/>
      <c r="P166" s="114"/>
    </row>
    <row r="167" spans="1:16" x14ac:dyDescent="0.25">
      <c r="A167" s="39" t="s">
        <v>431</v>
      </c>
      <c r="B167" s="6" t="s">
        <v>14</v>
      </c>
      <c r="C167" s="112" t="s">
        <v>700</v>
      </c>
      <c r="D167" s="112" t="s">
        <v>700</v>
      </c>
      <c r="E167" s="105"/>
      <c r="F167" s="107">
        <v>61</v>
      </c>
      <c r="G167" s="123">
        <v>244</v>
      </c>
      <c r="H167" s="44">
        <v>222</v>
      </c>
      <c r="I167" s="44"/>
      <c r="J167" s="114"/>
      <c r="K167" s="12">
        <f>(10*2000)*2</f>
        <v>40000</v>
      </c>
      <c r="L167" s="115"/>
      <c r="M167" s="152"/>
      <c r="N167" s="115"/>
      <c r="O167" s="152"/>
      <c r="P167" s="114"/>
    </row>
    <row r="168" spans="1:16" s="111" customFormat="1" ht="39.6" x14ac:dyDescent="0.25">
      <c r="A168" s="38">
        <v>50</v>
      </c>
      <c r="B168" s="5" t="s">
        <v>231</v>
      </c>
      <c r="C168" s="105"/>
      <c r="D168" s="113"/>
      <c r="E168" s="105"/>
      <c r="F168" s="107">
        <v>61</v>
      </c>
      <c r="G168" s="105"/>
      <c r="H168" s="44"/>
      <c r="I168" s="44"/>
      <c r="J168" s="114"/>
      <c r="K168" s="11">
        <f>K169</f>
        <v>20000</v>
      </c>
      <c r="L168" s="115"/>
      <c r="M168" s="152"/>
      <c r="N168" s="115"/>
      <c r="O168" s="152"/>
      <c r="P168" s="114"/>
    </row>
    <row r="169" spans="1:16" s="111" customFormat="1" x14ac:dyDescent="0.25">
      <c r="A169" s="39" t="s">
        <v>432</v>
      </c>
      <c r="B169" s="6" t="s">
        <v>14</v>
      </c>
      <c r="C169" s="112" t="s">
        <v>700</v>
      </c>
      <c r="D169" s="112" t="s">
        <v>700</v>
      </c>
      <c r="E169" s="105"/>
      <c r="F169" s="107">
        <v>61</v>
      </c>
      <c r="G169" s="123">
        <v>244</v>
      </c>
      <c r="H169" s="44">
        <v>222</v>
      </c>
      <c r="I169" s="44"/>
      <c r="J169" s="114"/>
      <c r="K169" s="12">
        <f>10*2000</f>
        <v>20000</v>
      </c>
      <c r="L169" s="115"/>
      <c r="M169" s="152"/>
      <c r="N169" s="115"/>
      <c r="O169" s="152"/>
      <c r="P169" s="114"/>
    </row>
    <row r="170" spans="1:16" ht="92.4" x14ac:dyDescent="0.25">
      <c r="A170" s="38">
        <v>51</v>
      </c>
      <c r="B170" s="5" t="s">
        <v>254</v>
      </c>
      <c r="C170" s="105"/>
      <c r="D170" s="113"/>
      <c r="E170" s="105"/>
      <c r="F170" s="107">
        <v>61</v>
      </c>
      <c r="G170" s="105"/>
      <c r="H170" s="44"/>
      <c r="I170" s="44"/>
      <c r="J170" s="9"/>
      <c r="K170" s="11">
        <f>K171</f>
        <v>288000</v>
      </c>
      <c r="L170" s="10"/>
      <c r="M170" s="152"/>
      <c r="N170" s="10"/>
      <c r="O170" s="178"/>
      <c r="P170" s="9"/>
    </row>
    <row r="171" spans="1:16" ht="30.6" x14ac:dyDescent="0.25">
      <c r="A171" s="39" t="s">
        <v>433</v>
      </c>
      <c r="B171" s="6" t="s">
        <v>14</v>
      </c>
      <c r="C171" s="112" t="s">
        <v>700</v>
      </c>
      <c r="D171" s="112" t="s">
        <v>700</v>
      </c>
      <c r="E171" s="105" t="s">
        <v>634</v>
      </c>
      <c r="F171" s="105">
        <v>61</v>
      </c>
      <c r="G171" s="123">
        <v>244</v>
      </c>
      <c r="H171" s="44">
        <v>222</v>
      </c>
      <c r="I171" s="44"/>
      <c r="J171" s="114"/>
      <c r="K171" s="12">
        <f>4*6*12*1000</f>
        <v>288000</v>
      </c>
      <c r="L171" s="115"/>
      <c r="M171" s="152">
        <f>6549+4045+4045+3236+4045+11088+11088+4045+3236</f>
        <v>51377</v>
      </c>
      <c r="N171" s="115"/>
      <c r="O171" s="152">
        <f>M171</f>
        <v>51377</v>
      </c>
      <c r="P171" s="114"/>
    </row>
    <row r="172" spans="1:16" ht="39.6" x14ac:dyDescent="0.25">
      <c r="A172" s="38">
        <v>52</v>
      </c>
      <c r="B172" s="5" t="s">
        <v>123</v>
      </c>
      <c r="C172" s="105"/>
      <c r="D172" s="113"/>
      <c r="E172" s="105"/>
      <c r="F172" s="107">
        <v>61</v>
      </c>
      <c r="G172" s="105"/>
      <c r="H172" s="44"/>
      <c r="I172" s="44"/>
      <c r="J172" s="114"/>
      <c r="K172" s="11">
        <f>K173</f>
        <v>20000</v>
      </c>
      <c r="L172" s="115"/>
      <c r="M172" s="152"/>
      <c r="N172" s="115"/>
      <c r="O172" s="152"/>
      <c r="P172" s="114"/>
    </row>
    <row r="173" spans="1:16" s="111" customFormat="1" x14ac:dyDescent="0.25">
      <c r="A173" s="39" t="s">
        <v>434</v>
      </c>
      <c r="B173" s="6" t="s">
        <v>14</v>
      </c>
      <c r="C173" s="112" t="s">
        <v>700</v>
      </c>
      <c r="D173" s="112" t="s">
        <v>700</v>
      </c>
      <c r="E173" s="124"/>
      <c r="F173" s="107">
        <v>61</v>
      </c>
      <c r="G173" s="123">
        <v>244</v>
      </c>
      <c r="H173" s="44">
        <v>222</v>
      </c>
      <c r="I173" s="44"/>
      <c r="J173" s="125"/>
      <c r="K173" s="12">
        <f>10*2000</f>
        <v>20000</v>
      </c>
      <c r="L173" s="1"/>
      <c r="M173" s="167"/>
      <c r="N173" s="1"/>
      <c r="O173" s="167"/>
      <c r="P173" s="125"/>
    </row>
    <row r="174" spans="1:16" ht="79.2" x14ac:dyDescent="0.25">
      <c r="A174" s="40" t="s">
        <v>435</v>
      </c>
      <c r="B174" s="5" t="s">
        <v>255</v>
      </c>
      <c r="C174" s="105"/>
      <c r="D174" s="113"/>
      <c r="E174" s="105"/>
      <c r="F174" s="107">
        <v>61</v>
      </c>
      <c r="G174" s="105"/>
      <c r="H174" s="44"/>
      <c r="I174" s="44"/>
      <c r="J174" s="114"/>
      <c r="K174" s="11">
        <f>SUM(K175:K177)</f>
        <v>13780</v>
      </c>
      <c r="L174" s="115"/>
      <c r="M174" s="152"/>
      <c r="N174" s="115"/>
      <c r="O174" s="152"/>
      <c r="P174" s="114"/>
    </row>
    <row r="175" spans="1:16" s="111" customFormat="1" x14ac:dyDescent="0.25">
      <c r="A175" s="39" t="s">
        <v>436</v>
      </c>
      <c r="B175" s="6" t="s">
        <v>27</v>
      </c>
      <c r="C175" s="105" t="s">
        <v>699</v>
      </c>
      <c r="D175" s="113" t="s">
        <v>712</v>
      </c>
      <c r="E175" s="124"/>
      <c r="F175" s="107">
        <v>61</v>
      </c>
      <c r="G175" s="123">
        <v>244</v>
      </c>
      <c r="H175" s="44">
        <v>349</v>
      </c>
      <c r="I175" s="44"/>
      <c r="J175" s="125"/>
      <c r="K175" s="12">
        <f>(20*200)*1.06</f>
        <v>4240</v>
      </c>
      <c r="L175" s="1"/>
      <c r="M175" s="167"/>
      <c r="N175" s="1"/>
      <c r="O175" s="167"/>
      <c r="P175" s="125"/>
    </row>
    <row r="176" spans="1:16" ht="26.4" x14ac:dyDescent="0.25">
      <c r="A176" s="39" t="s">
        <v>437</v>
      </c>
      <c r="B176" s="6" t="s">
        <v>256</v>
      </c>
      <c r="C176" s="105" t="s">
        <v>699</v>
      </c>
      <c r="D176" s="113" t="s">
        <v>712</v>
      </c>
      <c r="E176" s="105"/>
      <c r="F176" s="107">
        <v>61</v>
      </c>
      <c r="G176" s="123">
        <v>244</v>
      </c>
      <c r="H176" s="44">
        <v>349</v>
      </c>
      <c r="I176" s="44"/>
      <c r="J176" s="114"/>
      <c r="K176" s="12">
        <f>(50*60)*1.06</f>
        <v>3180</v>
      </c>
      <c r="L176" s="115"/>
      <c r="M176" s="152"/>
      <c r="N176" s="115"/>
      <c r="O176" s="152"/>
      <c r="P176" s="114"/>
    </row>
    <row r="177" spans="1:16" x14ac:dyDescent="0.25">
      <c r="A177" s="39" t="s">
        <v>438</v>
      </c>
      <c r="B177" s="6" t="s">
        <v>22</v>
      </c>
      <c r="C177" s="105" t="s">
        <v>699</v>
      </c>
      <c r="D177" s="113" t="s">
        <v>712</v>
      </c>
      <c r="E177" s="123"/>
      <c r="F177" s="107">
        <v>61</v>
      </c>
      <c r="G177" s="123">
        <v>244</v>
      </c>
      <c r="H177" s="44">
        <v>226</v>
      </c>
      <c r="I177" s="44"/>
      <c r="J177" s="114"/>
      <c r="K177" s="12">
        <v>6360</v>
      </c>
      <c r="L177" s="115"/>
      <c r="M177" s="152"/>
      <c r="N177" s="115"/>
      <c r="O177" s="152"/>
      <c r="P177" s="114"/>
    </row>
    <row r="178" spans="1:16" ht="26.4" x14ac:dyDescent="0.25">
      <c r="A178" s="38">
        <v>54</v>
      </c>
      <c r="B178" s="5" t="s">
        <v>257</v>
      </c>
      <c r="C178" s="105"/>
      <c r="D178" s="113"/>
      <c r="E178" s="123"/>
      <c r="F178" s="107">
        <v>61</v>
      </c>
      <c r="G178" s="123"/>
      <c r="H178" s="44"/>
      <c r="I178" s="44"/>
      <c r="J178" s="114"/>
      <c r="K178" s="11">
        <f>SUM(K179:K181)</f>
        <v>161990</v>
      </c>
      <c r="L178" s="115"/>
      <c r="M178" s="152"/>
      <c r="N178" s="115"/>
      <c r="O178" s="152"/>
      <c r="P178" s="114"/>
    </row>
    <row r="179" spans="1:16" ht="26.4" x14ac:dyDescent="0.25">
      <c r="A179" s="42" t="s">
        <v>439</v>
      </c>
      <c r="B179" s="6" t="s">
        <v>211</v>
      </c>
      <c r="C179" s="105" t="s">
        <v>699</v>
      </c>
      <c r="D179" s="113" t="s">
        <v>711</v>
      </c>
      <c r="E179" s="105"/>
      <c r="F179" s="107">
        <v>61</v>
      </c>
      <c r="G179" s="123">
        <v>244</v>
      </c>
      <c r="H179" s="44">
        <v>349</v>
      </c>
      <c r="I179" s="44"/>
      <c r="J179" s="114"/>
      <c r="K179" s="12">
        <f>(50*30)*1.06</f>
        <v>1590</v>
      </c>
      <c r="L179" s="115"/>
      <c r="M179" s="152"/>
      <c r="N179" s="115"/>
      <c r="O179" s="152"/>
      <c r="P179" s="114"/>
    </row>
    <row r="180" spans="1:16" x14ac:dyDescent="0.25">
      <c r="A180" s="42" t="s">
        <v>440</v>
      </c>
      <c r="B180" s="6" t="s">
        <v>44</v>
      </c>
      <c r="C180" s="112" t="s">
        <v>699</v>
      </c>
      <c r="D180" s="113" t="s">
        <v>711</v>
      </c>
      <c r="E180" s="105"/>
      <c r="F180" s="107">
        <v>61</v>
      </c>
      <c r="G180" s="123">
        <v>244</v>
      </c>
      <c r="H180" s="44">
        <v>349</v>
      </c>
      <c r="I180" s="44"/>
      <c r="J180" s="114"/>
      <c r="K180" s="12">
        <f>(3500*40)*1.06</f>
        <v>148400</v>
      </c>
      <c r="L180" s="115"/>
      <c r="M180" s="152"/>
      <c r="N180" s="115"/>
      <c r="O180" s="152"/>
      <c r="P180" s="114"/>
    </row>
    <row r="181" spans="1:16" x14ac:dyDescent="0.25">
      <c r="A181" s="42" t="s">
        <v>441</v>
      </c>
      <c r="B181" s="6" t="s">
        <v>14</v>
      </c>
      <c r="C181" s="112" t="s">
        <v>700</v>
      </c>
      <c r="D181" s="112" t="s">
        <v>700</v>
      </c>
      <c r="E181" s="105"/>
      <c r="F181" s="107">
        <v>61</v>
      </c>
      <c r="G181" s="123">
        <v>244</v>
      </c>
      <c r="H181" s="44">
        <v>222</v>
      </c>
      <c r="I181" s="44"/>
      <c r="J181" s="114"/>
      <c r="K181" s="12">
        <f>6*2000</f>
        <v>12000</v>
      </c>
      <c r="L181" s="115"/>
      <c r="M181" s="152"/>
      <c r="N181" s="115"/>
      <c r="O181" s="152"/>
      <c r="P181" s="114"/>
    </row>
    <row r="182" spans="1:16" ht="66" x14ac:dyDescent="0.25">
      <c r="A182" s="38">
        <v>55</v>
      </c>
      <c r="B182" s="5" t="s">
        <v>258</v>
      </c>
      <c r="C182" s="105"/>
      <c r="D182" s="113"/>
      <c r="E182" s="123"/>
      <c r="F182" s="107">
        <v>61</v>
      </c>
      <c r="G182" s="123"/>
      <c r="H182" s="44"/>
      <c r="I182" s="44"/>
      <c r="J182" s="114"/>
      <c r="K182" s="11">
        <f>SUM(K183:K184)</f>
        <v>167500</v>
      </c>
      <c r="L182" s="115"/>
      <c r="M182" s="152"/>
      <c r="N182" s="115"/>
      <c r="O182" s="152"/>
      <c r="P182" s="114"/>
    </row>
    <row r="183" spans="1:16" x14ac:dyDescent="0.25">
      <c r="A183" s="39" t="s">
        <v>442</v>
      </c>
      <c r="B183" s="6" t="s">
        <v>14</v>
      </c>
      <c r="C183" s="112" t="s">
        <v>700</v>
      </c>
      <c r="D183" s="112" t="s">
        <v>700</v>
      </c>
      <c r="E183" s="105"/>
      <c r="F183" s="107">
        <v>61</v>
      </c>
      <c r="G183" s="123">
        <v>244</v>
      </c>
      <c r="H183" s="44">
        <v>222</v>
      </c>
      <c r="I183" s="44"/>
      <c r="J183" s="114"/>
      <c r="K183" s="12">
        <f>(2000*6)*2</f>
        <v>24000</v>
      </c>
      <c r="L183" s="115"/>
      <c r="M183" s="152"/>
      <c r="N183" s="115"/>
      <c r="O183" s="152"/>
      <c r="P183" s="114"/>
    </row>
    <row r="184" spans="1:16" x14ac:dyDescent="0.25">
      <c r="A184" s="39" t="s">
        <v>443</v>
      </c>
      <c r="B184" s="6" t="s">
        <v>444</v>
      </c>
      <c r="C184" s="105" t="s">
        <v>699</v>
      </c>
      <c r="D184" s="113" t="s">
        <v>702</v>
      </c>
      <c r="E184" s="123"/>
      <c r="F184" s="107">
        <v>61</v>
      </c>
      <c r="G184" s="123">
        <v>244</v>
      </c>
      <c r="H184" s="44">
        <v>349</v>
      </c>
      <c r="I184" s="44"/>
      <c r="J184" s="114"/>
      <c r="K184" s="12">
        <v>143500</v>
      </c>
      <c r="L184" s="115"/>
      <c r="M184" s="152"/>
      <c r="N184" s="115"/>
      <c r="O184" s="152"/>
      <c r="P184" s="114"/>
    </row>
    <row r="185" spans="1:16" ht="39.6" x14ac:dyDescent="0.25">
      <c r="A185" s="38">
        <v>56</v>
      </c>
      <c r="B185" s="5" t="s">
        <v>259</v>
      </c>
      <c r="C185" s="105"/>
      <c r="D185" s="112"/>
      <c r="E185" s="105"/>
      <c r="F185" s="107">
        <v>61</v>
      </c>
      <c r="G185" s="105"/>
      <c r="H185" s="44"/>
      <c r="I185" s="44"/>
      <c r="J185" s="114"/>
      <c r="K185" s="11">
        <f>K186+K187+K188+K189+K190</f>
        <v>57497</v>
      </c>
      <c r="L185" s="115"/>
      <c r="M185" s="152"/>
      <c r="N185" s="115"/>
      <c r="O185" s="152"/>
      <c r="P185" s="114"/>
    </row>
    <row r="186" spans="1:16" ht="30.6" x14ac:dyDescent="0.25">
      <c r="A186" s="39" t="s">
        <v>147</v>
      </c>
      <c r="B186" s="6" t="s">
        <v>201</v>
      </c>
      <c r="C186" s="105" t="s">
        <v>699</v>
      </c>
      <c r="D186" s="113" t="s">
        <v>700</v>
      </c>
      <c r="E186" s="105" t="s">
        <v>585</v>
      </c>
      <c r="F186" s="107">
        <v>61</v>
      </c>
      <c r="G186" s="123">
        <v>244</v>
      </c>
      <c r="H186" s="44">
        <v>349</v>
      </c>
      <c r="I186" s="44"/>
      <c r="J186" s="114"/>
      <c r="K186" s="12">
        <f>((60*50)+ 3000)*1.06</f>
        <v>6360</v>
      </c>
      <c r="L186" s="115"/>
      <c r="M186" s="152">
        <v>6350</v>
      </c>
      <c r="N186" s="115"/>
      <c r="O186" s="152"/>
      <c r="P186" s="114"/>
    </row>
    <row r="187" spans="1:16" s="111" customFormat="1" x14ac:dyDescent="0.25">
      <c r="A187" s="39" t="s">
        <v>445</v>
      </c>
      <c r="B187" s="6" t="s">
        <v>14</v>
      </c>
      <c r="C187" s="112" t="s">
        <v>700</v>
      </c>
      <c r="D187" s="112" t="s">
        <v>700</v>
      </c>
      <c r="E187" s="105"/>
      <c r="F187" s="107">
        <v>61</v>
      </c>
      <c r="G187" s="123">
        <v>244</v>
      </c>
      <c r="H187" s="44">
        <v>222</v>
      </c>
      <c r="I187" s="44"/>
      <c r="J187" s="125"/>
      <c r="K187" s="12">
        <f>10*2000</f>
        <v>20000</v>
      </c>
      <c r="L187" s="1"/>
      <c r="M187" s="152"/>
      <c r="N187" s="115"/>
      <c r="O187" s="152"/>
      <c r="P187" s="114"/>
    </row>
    <row r="188" spans="1:16" x14ac:dyDescent="0.25">
      <c r="A188" s="39" t="s">
        <v>446</v>
      </c>
      <c r="B188" s="6" t="s">
        <v>12</v>
      </c>
      <c r="C188" s="112" t="s">
        <v>699</v>
      </c>
      <c r="D188" s="113" t="s">
        <v>704</v>
      </c>
      <c r="E188" s="105"/>
      <c r="F188" s="107">
        <v>61</v>
      </c>
      <c r="G188" s="123">
        <v>244</v>
      </c>
      <c r="H188" s="44">
        <v>342</v>
      </c>
      <c r="I188" s="44"/>
      <c r="J188" s="114"/>
      <c r="K188" s="12">
        <f>INT(((70*25)+(25*25))*1.06)</f>
        <v>2517</v>
      </c>
      <c r="L188" s="115"/>
      <c r="M188" s="152"/>
      <c r="N188" s="115"/>
      <c r="O188" s="152"/>
      <c r="P188" s="114"/>
    </row>
    <row r="189" spans="1:16" s="111" customFormat="1" x14ac:dyDescent="0.25">
      <c r="A189" s="39" t="s">
        <v>447</v>
      </c>
      <c r="B189" s="6" t="s">
        <v>41</v>
      </c>
      <c r="C189" s="112" t="s">
        <v>699</v>
      </c>
      <c r="D189" s="113" t="s">
        <v>704</v>
      </c>
      <c r="E189" s="105"/>
      <c r="F189" s="107">
        <v>61</v>
      </c>
      <c r="G189" s="123">
        <v>244</v>
      </c>
      <c r="H189" s="44">
        <v>226</v>
      </c>
      <c r="I189" s="44"/>
      <c r="J189" s="114"/>
      <c r="K189" s="12">
        <f>(60*300)*1.06</f>
        <v>19080</v>
      </c>
      <c r="L189" s="115"/>
      <c r="M189" s="152"/>
      <c r="N189" s="115"/>
      <c r="O189" s="152"/>
      <c r="P189" s="114"/>
    </row>
    <row r="190" spans="1:16" ht="40.799999999999997" x14ac:dyDescent="0.25">
      <c r="A190" s="39" t="s">
        <v>448</v>
      </c>
      <c r="B190" s="6" t="s">
        <v>40</v>
      </c>
      <c r="C190" s="105" t="s">
        <v>699</v>
      </c>
      <c r="D190" s="113" t="s">
        <v>700</v>
      </c>
      <c r="E190" s="105" t="s">
        <v>587</v>
      </c>
      <c r="F190" s="107">
        <v>61</v>
      </c>
      <c r="G190" s="123">
        <v>244</v>
      </c>
      <c r="H190" s="44">
        <v>226</v>
      </c>
      <c r="I190" s="44"/>
      <c r="J190" s="114"/>
      <c r="K190" s="12">
        <f>(6*1500)*1.06</f>
        <v>9540</v>
      </c>
      <c r="L190" s="115"/>
      <c r="M190" s="152">
        <f>1320*6</f>
        <v>7920</v>
      </c>
      <c r="N190" s="115"/>
      <c r="O190" s="152"/>
      <c r="P190" s="114"/>
    </row>
    <row r="191" spans="1:16" ht="26.4" x14ac:dyDescent="0.25">
      <c r="A191" s="38">
        <v>57</v>
      </c>
      <c r="B191" s="5" t="s">
        <v>145</v>
      </c>
      <c r="C191" s="112"/>
      <c r="D191" s="113"/>
      <c r="E191" s="105"/>
      <c r="F191" s="107">
        <v>61</v>
      </c>
      <c r="G191" s="105"/>
      <c r="H191" s="44"/>
      <c r="I191" s="44"/>
      <c r="J191" s="114"/>
      <c r="K191" s="11">
        <f>K192+K193</f>
        <v>39750</v>
      </c>
      <c r="L191" s="115"/>
      <c r="M191" s="152"/>
      <c r="N191" s="115"/>
      <c r="O191" s="152"/>
      <c r="P191" s="114"/>
    </row>
    <row r="192" spans="1:16" x14ac:dyDescent="0.25">
      <c r="A192" s="39" t="s">
        <v>449</v>
      </c>
      <c r="B192" s="6" t="s">
        <v>204</v>
      </c>
      <c r="C192" s="105" t="s">
        <v>699</v>
      </c>
      <c r="D192" s="113" t="s">
        <v>704</v>
      </c>
      <c r="E192" s="123"/>
      <c r="F192" s="107">
        <v>61</v>
      </c>
      <c r="G192" s="123">
        <v>244</v>
      </c>
      <c r="H192" s="44">
        <v>226</v>
      </c>
      <c r="I192" s="44"/>
      <c r="J192" s="114"/>
      <c r="K192" s="12">
        <v>6360</v>
      </c>
      <c r="L192" s="115"/>
      <c r="M192" s="152"/>
      <c r="N192" s="115"/>
      <c r="O192" s="152"/>
      <c r="P192" s="114"/>
    </row>
    <row r="193" spans="1:16" ht="26.4" x14ac:dyDescent="0.25">
      <c r="A193" s="39" t="s">
        <v>450</v>
      </c>
      <c r="B193" s="6" t="s">
        <v>256</v>
      </c>
      <c r="C193" s="105" t="s">
        <v>699</v>
      </c>
      <c r="D193" s="113" t="s">
        <v>711</v>
      </c>
      <c r="E193" s="105"/>
      <c r="F193" s="107">
        <v>61</v>
      </c>
      <c r="G193" s="123">
        <v>244</v>
      </c>
      <c r="H193" s="44">
        <v>349</v>
      </c>
      <c r="I193" s="44"/>
      <c r="J193" s="114"/>
      <c r="K193" s="12">
        <f>(70*450)*1.06</f>
        <v>33390</v>
      </c>
      <c r="L193" s="115"/>
      <c r="M193" s="152"/>
      <c r="N193" s="115"/>
      <c r="O193" s="152"/>
      <c r="P193" s="114"/>
    </row>
    <row r="194" spans="1:16" ht="26.4" x14ac:dyDescent="0.25">
      <c r="A194" s="38">
        <v>58</v>
      </c>
      <c r="B194" s="5" t="s">
        <v>148</v>
      </c>
      <c r="C194" s="105"/>
      <c r="D194" s="112"/>
      <c r="E194" s="105"/>
      <c r="F194" s="107">
        <v>61</v>
      </c>
      <c r="G194" s="105"/>
      <c r="H194" s="44"/>
      <c r="I194" s="44"/>
      <c r="J194" s="114"/>
      <c r="K194" s="14">
        <f>SUM(K195:K202)</f>
        <v>121476</v>
      </c>
      <c r="L194" s="115"/>
      <c r="M194" s="152"/>
      <c r="N194" s="115"/>
      <c r="O194" s="152"/>
      <c r="P194" s="114"/>
    </row>
    <row r="195" spans="1:16" ht="39.6" x14ac:dyDescent="0.25">
      <c r="A195" s="42" t="s">
        <v>451</v>
      </c>
      <c r="B195" s="6" t="s">
        <v>115</v>
      </c>
      <c r="C195" s="105" t="s">
        <v>699</v>
      </c>
      <c r="D195" s="113" t="s">
        <v>705</v>
      </c>
      <c r="E195" s="105"/>
      <c r="F195" s="107">
        <v>61</v>
      </c>
      <c r="G195" s="123">
        <v>244</v>
      </c>
      <c r="H195" s="44">
        <v>226</v>
      </c>
      <c r="I195" s="44"/>
      <c r="J195" s="114"/>
      <c r="K195" s="13">
        <f>(50000+6000+(120*150)+(20*1000)+(10000))*1.06</f>
        <v>110240</v>
      </c>
      <c r="L195" s="115"/>
      <c r="M195" s="152"/>
      <c r="N195" s="115"/>
      <c r="O195" s="152"/>
      <c r="P195" s="114"/>
    </row>
    <row r="196" spans="1:16" ht="26.4" x14ac:dyDescent="0.25">
      <c r="A196" s="42" t="s">
        <v>452</v>
      </c>
      <c r="B196" s="6" t="s">
        <v>224</v>
      </c>
      <c r="C196" s="105"/>
      <c r="D196" s="112"/>
      <c r="E196" s="105"/>
      <c r="F196" s="107">
        <v>61</v>
      </c>
      <c r="G196" s="123">
        <v>244</v>
      </c>
      <c r="H196" s="44"/>
      <c r="I196" s="44"/>
      <c r="J196" s="114"/>
      <c r="K196" s="13">
        <v>0</v>
      </c>
      <c r="L196" s="115"/>
      <c r="M196" s="152"/>
      <c r="N196" s="115"/>
      <c r="O196" s="152"/>
      <c r="P196" s="114"/>
    </row>
    <row r="197" spans="1:16" x14ac:dyDescent="0.25">
      <c r="A197" s="42" t="s">
        <v>453</v>
      </c>
      <c r="B197" s="6" t="s">
        <v>22</v>
      </c>
      <c r="C197" s="105"/>
      <c r="D197" s="113"/>
      <c r="E197" s="105"/>
      <c r="F197" s="107">
        <v>61</v>
      </c>
      <c r="G197" s="123">
        <v>244</v>
      </c>
      <c r="H197" s="44"/>
      <c r="I197" s="44"/>
      <c r="J197" s="114"/>
      <c r="K197" s="13">
        <v>0</v>
      </c>
      <c r="L197" s="115"/>
      <c r="M197" s="152"/>
      <c r="N197" s="115"/>
      <c r="O197" s="152"/>
      <c r="P197" s="114"/>
    </row>
    <row r="198" spans="1:16" x14ac:dyDescent="0.25">
      <c r="A198" s="42" t="s">
        <v>454</v>
      </c>
      <c r="B198" s="6" t="s">
        <v>201</v>
      </c>
      <c r="C198" s="105"/>
      <c r="D198" s="113"/>
      <c r="E198" s="123"/>
      <c r="F198" s="107">
        <v>61</v>
      </c>
      <c r="G198" s="123">
        <v>244</v>
      </c>
      <c r="H198" s="44">
        <v>349</v>
      </c>
      <c r="I198" s="44"/>
      <c r="J198" s="114"/>
      <c r="K198" s="12">
        <v>0</v>
      </c>
      <c r="L198" s="115"/>
      <c r="M198" s="152"/>
      <c r="N198" s="115"/>
      <c r="O198" s="152"/>
      <c r="P198" s="114"/>
    </row>
    <row r="199" spans="1:16" s="111" customFormat="1" x14ac:dyDescent="0.25">
      <c r="A199" s="42" t="s">
        <v>455</v>
      </c>
      <c r="B199" s="6" t="s">
        <v>44</v>
      </c>
      <c r="C199" s="105"/>
      <c r="D199" s="113"/>
      <c r="E199" s="123"/>
      <c r="F199" s="107">
        <v>61</v>
      </c>
      <c r="G199" s="123">
        <v>244</v>
      </c>
      <c r="H199" s="44">
        <v>349</v>
      </c>
      <c r="I199" s="44"/>
      <c r="J199" s="114"/>
      <c r="K199" s="12">
        <v>0</v>
      </c>
      <c r="L199" s="115"/>
      <c r="M199" s="152"/>
      <c r="N199" s="115"/>
      <c r="O199" s="152"/>
      <c r="P199" s="114"/>
    </row>
    <row r="200" spans="1:16" x14ac:dyDescent="0.25">
      <c r="A200" s="42" t="s">
        <v>456</v>
      </c>
      <c r="B200" s="6" t="s">
        <v>23</v>
      </c>
      <c r="C200" s="112"/>
      <c r="D200" s="113"/>
      <c r="E200" s="105"/>
      <c r="F200" s="107">
        <v>61</v>
      </c>
      <c r="G200" s="123">
        <v>244</v>
      </c>
      <c r="H200" s="44">
        <v>226</v>
      </c>
      <c r="I200" s="44"/>
      <c r="J200" s="114"/>
      <c r="K200" s="12">
        <v>0</v>
      </c>
      <c r="L200" s="115"/>
      <c r="M200" s="152"/>
      <c r="N200" s="115"/>
      <c r="O200" s="152"/>
      <c r="P200" s="114"/>
    </row>
    <row r="201" spans="1:16" s="111" customFormat="1" ht="26.4" x14ac:dyDescent="0.25">
      <c r="A201" s="39" t="s">
        <v>457</v>
      </c>
      <c r="B201" s="19" t="s">
        <v>211</v>
      </c>
      <c r="C201" s="105" t="s">
        <v>699</v>
      </c>
      <c r="D201" s="113" t="s">
        <v>705</v>
      </c>
      <c r="E201" s="124"/>
      <c r="F201" s="107">
        <v>61</v>
      </c>
      <c r="G201" s="123">
        <v>244</v>
      </c>
      <c r="H201" s="44">
        <v>349</v>
      </c>
      <c r="I201" s="44"/>
      <c r="J201" s="125"/>
      <c r="K201" s="15">
        <f>(20*30)*1.06</f>
        <v>636</v>
      </c>
      <c r="L201" s="1"/>
      <c r="M201" s="167"/>
      <c r="N201" s="1"/>
      <c r="O201" s="167"/>
      <c r="P201" s="125"/>
    </row>
    <row r="202" spans="1:16" x14ac:dyDescent="0.25">
      <c r="A202" s="39" t="s">
        <v>458</v>
      </c>
      <c r="B202" s="6" t="s">
        <v>199</v>
      </c>
      <c r="C202" s="112" t="s">
        <v>699</v>
      </c>
      <c r="D202" s="113" t="s">
        <v>705</v>
      </c>
      <c r="E202" s="105"/>
      <c r="F202" s="107">
        <v>61</v>
      </c>
      <c r="G202" s="123">
        <v>244</v>
      </c>
      <c r="H202" s="44">
        <v>226</v>
      </c>
      <c r="I202" s="44"/>
      <c r="J202" s="114"/>
      <c r="K202" s="12">
        <f>(2*5000)*1.06</f>
        <v>10600</v>
      </c>
      <c r="L202" s="115"/>
      <c r="M202" s="152"/>
      <c r="N202" s="115"/>
      <c r="O202" s="152"/>
      <c r="P202" s="114"/>
    </row>
    <row r="203" spans="1:16" ht="26.4" x14ac:dyDescent="0.25">
      <c r="A203" s="38">
        <v>59</v>
      </c>
      <c r="B203" s="5" t="s">
        <v>146</v>
      </c>
      <c r="C203" s="105"/>
      <c r="D203" s="113"/>
      <c r="E203" s="123"/>
      <c r="F203" s="107">
        <v>61</v>
      </c>
      <c r="G203" s="123"/>
      <c r="H203" s="44"/>
      <c r="I203" s="44"/>
      <c r="J203" s="114"/>
      <c r="K203" s="11">
        <f>K204</f>
        <v>50000</v>
      </c>
      <c r="L203" s="115"/>
      <c r="M203" s="152"/>
      <c r="N203" s="115"/>
      <c r="O203" s="152"/>
      <c r="P203" s="114"/>
    </row>
    <row r="204" spans="1:16" ht="26.4" x14ac:dyDescent="0.25">
      <c r="A204" s="39" t="s">
        <v>459</v>
      </c>
      <c r="B204" s="6" t="s">
        <v>460</v>
      </c>
      <c r="C204" s="105" t="s">
        <v>699</v>
      </c>
      <c r="D204" s="113" t="s">
        <v>713</v>
      </c>
      <c r="E204" s="105"/>
      <c r="F204" s="107">
        <v>61</v>
      </c>
      <c r="G204" s="123">
        <v>244</v>
      </c>
      <c r="H204" s="44">
        <v>226</v>
      </c>
      <c r="I204" s="44"/>
      <c r="J204" s="102"/>
      <c r="K204" s="12">
        <v>50000</v>
      </c>
      <c r="L204" s="102"/>
      <c r="M204" s="104"/>
      <c r="N204" s="115"/>
      <c r="O204" s="152"/>
      <c r="P204" s="114"/>
    </row>
    <row r="205" spans="1:16" ht="26.4" x14ac:dyDescent="0.25">
      <c r="A205" s="38">
        <v>60</v>
      </c>
      <c r="B205" s="5" t="s">
        <v>260</v>
      </c>
      <c r="C205" s="105"/>
      <c r="D205" s="113"/>
      <c r="E205" s="105"/>
      <c r="F205" s="107">
        <v>61</v>
      </c>
      <c r="G205" s="105"/>
      <c r="H205" s="44"/>
      <c r="I205" s="44"/>
      <c r="J205" s="114"/>
      <c r="K205" s="11">
        <f>K206+K207</f>
        <v>223100</v>
      </c>
      <c r="L205" s="115"/>
      <c r="M205" s="152"/>
      <c r="N205" s="115"/>
      <c r="O205" s="152"/>
      <c r="P205" s="114"/>
    </row>
    <row r="206" spans="1:16" ht="30.6" x14ac:dyDescent="0.25">
      <c r="A206" s="39" t="s">
        <v>461</v>
      </c>
      <c r="B206" s="6" t="s">
        <v>44</v>
      </c>
      <c r="C206" s="105" t="s">
        <v>699</v>
      </c>
      <c r="D206" s="113" t="s">
        <v>700</v>
      </c>
      <c r="E206" s="105" t="s">
        <v>617</v>
      </c>
      <c r="F206" s="107">
        <v>61</v>
      </c>
      <c r="G206" s="123">
        <v>244</v>
      </c>
      <c r="H206" s="44">
        <v>349</v>
      </c>
      <c r="I206" s="44"/>
      <c r="J206" s="114"/>
      <c r="K206" s="12">
        <f>(150*1000)*1.06</f>
        <v>159000</v>
      </c>
      <c r="L206" s="115"/>
      <c r="M206" s="152">
        <v>90000</v>
      </c>
      <c r="N206" s="115"/>
      <c r="O206" s="152">
        <v>90000</v>
      </c>
      <c r="P206" s="114"/>
    </row>
    <row r="207" spans="1:16" ht="163.19999999999999" x14ac:dyDescent="0.25">
      <c r="A207" s="39" t="s">
        <v>462</v>
      </c>
      <c r="B207" s="6" t="s">
        <v>211</v>
      </c>
      <c r="C207" s="105" t="s">
        <v>699</v>
      </c>
      <c r="D207" s="113" t="s">
        <v>700</v>
      </c>
      <c r="E207" s="126" t="s">
        <v>670</v>
      </c>
      <c r="F207" s="107">
        <v>61</v>
      </c>
      <c r="G207" s="123">
        <v>244</v>
      </c>
      <c r="H207" s="44">
        <v>349</v>
      </c>
      <c r="I207" s="44"/>
      <c r="J207" s="114"/>
      <c r="K207" s="12">
        <v>64100</v>
      </c>
      <c r="L207" s="115"/>
      <c r="M207" s="152">
        <f>31465.6+3450+1800+612+400</f>
        <v>37727.599999999999</v>
      </c>
      <c r="N207" s="115"/>
      <c r="O207" s="152">
        <f>M207</f>
        <v>37727.599999999999</v>
      </c>
      <c r="P207" s="114"/>
    </row>
    <row r="208" spans="1:16" ht="39.6" x14ac:dyDescent="0.25">
      <c r="A208" s="38">
        <v>61</v>
      </c>
      <c r="B208" s="5" t="s">
        <v>123</v>
      </c>
      <c r="C208" s="105"/>
      <c r="D208" s="113"/>
      <c r="E208" s="105"/>
      <c r="F208" s="107">
        <v>61</v>
      </c>
      <c r="G208" s="105"/>
      <c r="H208" s="44"/>
      <c r="I208" s="44"/>
      <c r="J208" s="114"/>
      <c r="K208" s="11">
        <f>K209</f>
        <v>20000</v>
      </c>
      <c r="L208" s="115"/>
      <c r="M208" s="152"/>
      <c r="N208" s="115"/>
      <c r="O208" s="152"/>
      <c r="P208" s="114"/>
    </row>
    <row r="209" spans="1:16" s="111" customFormat="1" x14ac:dyDescent="0.25">
      <c r="A209" s="39" t="s">
        <v>463</v>
      </c>
      <c r="B209" s="6" t="s">
        <v>14</v>
      </c>
      <c r="C209" s="112" t="s">
        <v>700</v>
      </c>
      <c r="D209" s="112" t="s">
        <v>700</v>
      </c>
      <c r="E209" s="105"/>
      <c r="F209" s="107">
        <v>61</v>
      </c>
      <c r="G209" s="123">
        <v>244</v>
      </c>
      <c r="H209" s="44">
        <v>222</v>
      </c>
      <c r="I209" s="44"/>
      <c r="J209" s="114"/>
      <c r="K209" s="12">
        <f>10*2000</f>
        <v>20000</v>
      </c>
      <c r="L209" s="115"/>
      <c r="M209" s="152"/>
      <c r="N209" s="115"/>
      <c r="O209" s="152"/>
      <c r="P209" s="114"/>
    </row>
    <row r="210" spans="1:16" ht="66" x14ac:dyDescent="0.25">
      <c r="A210" s="40" t="s">
        <v>464</v>
      </c>
      <c r="B210" s="5" t="s">
        <v>261</v>
      </c>
      <c r="C210" s="105"/>
      <c r="D210" s="113"/>
      <c r="E210" s="105"/>
      <c r="F210" s="107">
        <v>61</v>
      </c>
      <c r="G210" s="105"/>
      <c r="H210" s="44"/>
      <c r="I210" s="44"/>
      <c r="J210" s="102"/>
      <c r="K210" s="11">
        <f>K211</f>
        <v>4240</v>
      </c>
      <c r="L210" s="102"/>
      <c r="M210" s="104"/>
      <c r="N210" s="115"/>
      <c r="O210" s="152"/>
      <c r="P210" s="114"/>
    </row>
    <row r="211" spans="1:16" x14ac:dyDescent="0.25">
      <c r="A211" s="43" t="s">
        <v>465</v>
      </c>
      <c r="B211" s="19" t="s">
        <v>27</v>
      </c>
      <c r="C211" s="112" t="s">
        <v>699</v>
      </c>
      <c r="D211" s="113" t="s">
        <v>713</v>
      </c>
      <c r="E211" s="105"/>
      <c r="F211" s="107">
        <v>61</v>
      </c>
      <c r="G211" s="123">
        <v>244</v>
      </c>
      <c r="H211" s="44">
        <v>349</v>
      </c>
      <c r="I211" s="44"/>
      <c r="J211" s="114"/>
      <c r="K211" s="15">
        <f>(20*200)*1.06</f>
        <v>4240</v>
      </c>
      <c r="L211" s="115"/>
      <c r="M211" s="152"/>
      <c r="N211" s="115"/>
      <c r="O211" s="152"/>
      <c r="P211" s="114"/>
    </row>
    <row r="212" spans="1:16" ht="40.200000000000003" thickBot="1" x14ac:dyDescent="0.3">
      <c r="A212" s="76" t="s">
        <v>466</v>
      </c>
      <c r="B212" s="59" t="s">
        <v>467</v>
      </c>
      <c r="C212" s="112" t="s">
        <v>699</v>
      </c>
      <c r="D212" s="113" t="s">
        <v>713</v>
      </c>
      <c r="E212" s="129"/>
      <c r="F212" s="130">
        <v>61</v>
      </c>
      <c r="G212" s="129"/>
      <c r="H212" s="79">
        <v>226</v>
      </c>
      <c r="I212" s="79"/>
      <c r="J212" s="131"/>
      <c r="K212" s="34">
        <v>100000</v>
      </c>
      <c r="L212" s="132"/>
      <c r="M212" s="172"/>
      <c r="N212" s="132"/>
      <c r="O212" s="172"/>
      <c r="P212" s="131"/>
    </row>
    <row r="213" spans="1:16" ht="14.4" thickBot="1" x14ac:dyDescent="0.3">
      <c r="A213" s="30"/>
      <c r="B213" s="31" t="s">
        <v>338</v>
      </c>
      <c r="C213" s="133"/>
      <c r="D213" s="134"/>
      <c r="E213" s="135"/>
      <c r="F213" s="135"/>
      <c r="G213" s="135"/>
      <c r="H213" s="135"/>
      <c r="I213" s="135"/>
      <c r="J213" s="136"/>
      <c r="K213" s="179">
        <f>K17+K27+K29+K31+K33+K35+K37+K44+K46+K48+K50+K56+K61+K63+K65+K67+K71+K73+K77+K79+K85+K88+K90+K93+K96+K98+K100+K102+K105+K107+K109+K111+K113+K118+K123+K128+K130+K133+K135+K137+K139+K141+K143+K147+K149+K152+K154+K156+K166+K168+K170+K172+K174+K178+K182+K185+K191+K194+K203+K205+K208+K210+K212</f>
        <v>3916209</v>
      </c>
      <c r="L213" s="137"/>
      <c r="M213" s="180">
        <f>SUM(M17:M212)</f>
        <v>1214767.98</v>
      </c>
      <c r="N213" s="137"/>
      <c r="O213" s="181">
        <f>SUM(O18:O212)</f>
        <v>1104897.98</v>
      </c>
      <c r="P213" s="136"/>
    </row>
    <row r="214" spans="1:16" ht="39.6" x14ac:dyDescent="0.25">
      <c r="A214" s="45" t="s">
        <v>32</v>
      </c>
      <c r="B214" s="17" t="s">
        <v>180</v>
      </c>
      <c r="C214" s="138"/>
      <c r="D214" s="139"/>
      <c r="E214" s="138"/>
      <c r="F214" s="138">
        <v>62</v>
      </c>
      <c r="G214" s="123">
        <v>244</v>
      </c>
      <c r="H214" s="138"/>
      <c r="I214" s="138"/>
      <c r="J214" s="140"/>
      <c r="K214" s="141"/>
      <c r="L214" s="142"/>
      <c r="M214" s="159"/>
      <c r="N214" s="142"/>
      <c r="O214" s="159"/>
      <c r="P214" s="140"/>
    </row>
    <row r="215" spans="1:16" s="111" customFormat="1" ht="39.6" x14ac:dyDescent="0.25">
      <c r="A215" s="46">
        <v>10</v>
      </c>
      <c r="B215" s="8" t="s">
        <v>114</v>
      </c>
      <c r="C215" s="107"/>
      <c r="D215" s="119"/>
      <c r="E215" s="124"/>
      <c r="F215" s="138">
        <v>62</v>
      </c>
      <c r="G215" s="123">
        <v>244</v>
      </c>
      <c r="H215" s="124"/>
      <c r="I215" s="124"/>
      <c r="J215" s="125"/>
      <c r="K215" s="11">
        <f>K216+K217</f>
        <v>760102.04</v>
      </c>
      <c r="L215" s="1"/>
      <c r="M215" s="167"/>
      <c r="N215" s="1"/>
      <c r="O215" s="167"/>
      <c r="P215" s="125"/>
    </row>
    <row r="216" spans="1:16" ht="132.6" x14ac:dyDescent="0.25">
      <c r="A216" s="39" t="s">
        <v>97</v>
      </c>
      <c r="B216" s="6" t="s">
        <v>263</v>
      </c>
      <c r="C216" s="112" t="s">
        <v>699</v>
      </c>
      <c r="D216" s="113" t="s">
        <v>701</v>
      </c>
      <c r="E216" s="105" t="s">
        <v>639</v>
      </c>
      <c r="F216" s="138">
        <v>62</v>
      </c>
      <c r="G216" s="123">
        <v>244</v>
      </c>
      <c r="H216" s="44">
        <v>226</v>
      </c>
      <c r="I216" s="44"/>
      <c r="J216" s="114"/>
      <c r="K216" s="12">
        <f>(2*325000)*1.06</f>
        <v>689000</v>
      </c>
      <c r="L216" s="115"/>
      <c r="M216" s="152">
        <f>O216</f>
        <v>620900</v>
      </c>
      <c r="N216" s="115"/>
      <c r="O216" s="152">
        <f>249600+179550+191750</f>
        <v>620900</v>
      </c>
      <c r="P216" s="114"/>
    </row>
    <row r="217" spans="1:16" s="111" customFormat="1" ht="30.6" x14ac:dyDescent="0.25">
      <c r="A217" s="39" t="s">
        <v>264</v>
      </c>
      <c r="B217" s="6" t="s">
        <v>25</v>
      </c>
      <c r="C217" s="105" t="s">
        <v>699</v>
      </c>
      <c r="D217" s="113" t="s">
        <v>701</v>
      </c>
      <c r="E217" s="105" t="s">
        <v>591</v>
      </c>
      <c r="F217" s="138">
        <v>62</v>
      </c>
      <c r="G217" s="123">
        <v>244</v>
      </c>
      <c r="H217" s="44">
        <v>226</v>
      </c>
      <c r="I217" s="44"/>
      <c r="J217" s="143"/>
      <c r="K217" s="12">
        <v>71102.039999999994</v>
      </c>
      <c r="L217" s="115"/>
      <c r="M217" s="152">
        <v>71000</v>
      </c>
      <c r="N217" s="115"/>
      <c r="O217" s="152">
        <v>71000</v>
      </c>
      <c r="P217" s="125"/>
    </row>
    <row r="218" spans="1:16" ht="79.2" x14ac:dyDescent="0.25">
      <c r="A218" s="38">
        <v>23</v>
      </c>
      <c r="B218" s="5" t="s">
        <v>265</v>
      </c>
      <c r="C218" s="105"/>
      <c r="D218" s="113"/>
      <c r="E218" s="105"/>
      <c r="F218" s="138">
        <v>62</v>
      </c>
      <c r="G218" s="123">
        <v>244</v>
      </c>
      <c r="H218" s="28"/>
      <c r="I218" s="28"/>
      <c r="J218" s="114"/>
      <c r="K218" s="11">
        <f>SUM(K219:K229)</f>
        <v>1966330.41</v>
      </c>
      <c r="L218" s="115"/>
      <c r="M218" s="152"/>
      <c r="N218" s="115"/>
      <c r="O218" s="152"/>
      <c r="P218" s="114"/>
    </row>
    <row r="219" spans="1:16" ht="193.8" x14ac:dyDescent="0.25">
      <c r="A219" s="47" t="s">
        <v>266</v>
      </c>
      <c r="B219" s="6" t="s">
        <v>640</v>
      </c>
      <c r="C219" s="105" t="s">
        <v>699</v>
      </c>
      <c r="D219" s="113" t="s">
        <v>708</v>
      </c>
      <c r="E219" s="105" t="s">
        <v>696</v>
      </c>
      <c r="F219" s="138">
        <v>62</v>
      </c>
      <c r="G219" s="123">
        <v>244</v>
      </c>
      <c r="H219" s="44">
        <v>226</v>
      </c>
      <c r="I219" s="44"/>
      <c r="J219" s="114"/>
      <c r="K219" s="12">
        <v>958790</v>
      </c>
      <c r="L219" s="115"/>
      <c r="M219" s="152">
        <f>208500+195600+96500+56000+2500</f>
        <v>559100</v>
      </c>
      <c r="N219" s="115"/>
      <c r="O219" s="152">
        <f>208500+195600+96500+20000+2500</f>
        <v>523100</v>
      </c>
      <c r="P219" s="114"/>
    </row>
    <row r="220" spans="1:16" ht="102" x14ac:dyDescent="0.25">
      <c r="A220" s="47" t="s">
        <v>267</v>
      </c>
      <c r="B220" s="6" t="s">
        <v>641</v>
      </c>
      <c r="C220" s="105" t="s">
        <v>699</v>
      </c>
      <c r="D220" s="113" t="s">
        <v>701</v>
      </c>
      <c r="E220" s="105" t="s">
        <v>668</v>
      </c>
      <c r="F220" s="138">
        <v>62</v>
      </c>
      <c r="G220" s="123">
        <v>244</v>
      </c>
      <c r="H220" s="44">
        <v>346</v>
      </c>
      <c r="I220" s="44"/>
      <c r="J220" s="114"/>
      <c r="K220" s="12">
        <v>109000</v>
      </c>
      <c r="L220" s="115"/>
      <c r="M220" s="152">
        <f>98500+9100+952.5</f>
        <v>108552.5</v>
      </c>
      <c r="N220" s="115"/>
      <c r="O220" s="152">
        <f t="shared" ref="O220:O228" si="0">M220</f>
        <v>108552.5</v>
      </c>
      <c r="P220" s="114"/>
    </row>
    <row r="221" spans="1:16" ht="26.4" x14ac:dyDescent="0.25">
      <c r="A221" s="47" t="s">
        <v>268</v>
      </c>
      <c r="B221" s="6" t="s">
        <v>642</v>
      </c>
      <c r="C221" s="105" t="s">
        <v>699</v>
      </c>
      <c r="D221" s="113" t="s">
        <v>701</v>
      </c>
      <c r="E221" s="105" t="s">
        <v>649</v>
      </c>
      <c r="F221" s="138">
        <v>62</v>
      </c>
      <c r="G221" s="123">
        <v>244</v>
      </c>
      <c r="H221" s="44">
        <v>349</v>
      </c>
      <c r="I221" s="44"/>
      <c r="J221" s="114"/>
      <c r="K221" s="12">
        <v>2000</v>
      </c>
      <c r="L221" s="115"/>
      <c r="M221" s="152">
        <v>1995</v>
      </c>
      <c r="N221" s="115"/>
      <c r="O221" s="152">
        <f t="shared" si="0"/>
        <v>1995</v>
      </c>
      <c r="P221" s="114"/>
    </row>
    <row r="222" spans="1:16" ht="51" x14ac:dyDescent="0.25">
      <c r="A222" s="47" t="s">
        <v>269</v>
      </c>
      <c r="B222" s="6" t="s">
        <v>643</v>
      </c>
      <c r="C222" s="112" t="s">
        <v>699</v>
      </c>
      <c r="D222" s="113" t="s">
        <v>706</v>
      </c>
      <c r="E222" s="105" t="s">
        <v>650</v>
      </c>
      <c r="F222" s="138">
        <v>62</v>
      </c>
      <c r="G222" s="123">
        <v>244</v>
      </c>
      <c r="H222" s="44">
        <v>342</v>
      </c>
      <c r="I222" s="44"/>
      <c r="J222" s="114"/>
      <c r="K222" s="12">
        <v>160000</v>
      </c>
      <c r="L222" s="115"/>
      <c r="M222" s="152">
        <f>98910+60226.7</f>
        <v>159136.70000000001</v>
      </c>
      <c r="N222" s="115"/>
      <c r="O222" s="152">
        <f t="shared" si="0"/>
        <v>159136.70000000001</v>
      </c>
      <c r="P222" s="114"/>
    </row>
    <row r="223" spans="1:16" ht="30.6" x14ac:dyDescent="0.25">
      <c r="A223" s="47" t="s">
        <v>270</v>
      </c>
      <c r="B223" s="6" t="s">
        <v>42</v>
      </c>
      <c r="C223" s="105" t="s">
        <v>699</v>
      </c>
      <c r="D223" s="113" t="s">
        <v>706</v>
      </c>
      <c r="E223" s="105" t="s">
        <v>651</v>
      </c>
      <c r="F223" s="138">
        <v>62</v>
      </c>
      <c r="G223" s="123">
        <v>244</v>
      </c>
      <c r="H223" s="44">
        <v>226</v>
      </c>
      <c r="I223" s="44"/>
      <c r="J223" s="114"/>
      <c r="K223" s="12">
        <v>20000</v>
      </c>
      <c r="L223" s="115"/>
      <c r="M223" s="152">
        <v>16000</v>
      </c>
      <c r="N223" s="115"/>
      <c r="O223" s="152">
        <f t="shared" si="0"/>
        <v>16000</v>
      </c>
      <c r="P223" s="114"/>
    </row>
    <row r="224" spans="1:16" ht="102" x14ac:dyDescent="0.25">
      <c r="A224" s="47" t="s">
        <v>271</v>
      </c>
      <c r="B224" s="6" t="s">
        <v>644</v>
      </c>
      <c r="C224" s="105" t="s">
        <v>699</v>
      </c>
      <c r="D224" s="113" t="s">
        <v>706</v>
      </c>
      <c r="E224" s="105" t="s">
        <v>652</v>
      </c>
      <c r="F224" s="138">
        <v>62</v>
      </c>
      <c r="G224" s="123">
        <v>244</v>
      </c>
      <c r="H224" s="44">
        <v>349</v>
      </c>
      <c r="I224" s="44"/>
      <c r="J224" s="114"/>
      <c r="K224" s="12">
        <v>40000</v>
      </c>
      <c r="L224" s="115"/>
      <c r="M224" s="152">
        <f>19250+3304.8+15000</f>
        <v>37554.800000000003</v>
      </c>
      <c r="N224" s="115"/>
      <c r="O224" s="152">
        <f t="shared" si="0"/>
        <v>37554.800000000003</v>
      </c>
      <c r="P224" s="114"/>
    </row>
    <row r="225" spans="1:16" ht="30.6" x14ac:dyDescent="0.25">
      <c r="A225" s="47" t="s">
        <v>468</v>
      </c>
      <c r="B225" s="6" t="s">
        <v>469</v>
      </c>
      <c r="C225" s="105" t="s">
        <v>699</v>
      </c>
      <c r="D225" s="112" t="s">
        <v>706</v>
      </c>
      <c r="E225" s="105" t="s">
        <v>656</v>
      </c>
      <c r="F225" s="138">
        <v>62</v>
      </c>
      <c r="G225" s="123">
        <v>244</v>
      </c>
      <c r="H225" s="44">
        <v>346</v>
      </c>
      <c r="I225" s="44"/>
      <c r="J225" s="114"/>
      <c r="K225" s="12">
        <v>319750</v>
      </c>
      <c r="L225" s="115"/>
      <c r="M225" s="152">
        <v>319750</v>
      </c>
      <c r="N225" s="115"/>
      <c r="O225" s="152">
        <f t="shared" si="0"/>
        <v>319750</v>
      </c>
      <c r="P225" s="114"/>
    </row>
    <row r="226" spans="1:16" ht="36.75" customHeight="1" x14ac:dyDescent="0.25">
      <c r="A226" s="47" t="s">
        <v>470</v>
      </c>
      <c r="B226" s="6" t="s">
        <v>645</v>
      </c>
      <c r="C226" s="105" t="s">
        <v>699</v>
      </c>
      <c r="D226" s="113" t="s">
        <v>706</v>
      </c>
      <c r="E226" s="105" t="s">
        <v>654</v>
      </c>
      <c r="F226" s="138">
        <v>62</v>
      </c>
      <c r="G226" s="123">
        <v>244</v>
      </c>
      <c r="H226" s="44">
        <v>349</v>
      </c>
      <c r="I226" s="44"/>
      <c r="J226" s="114"/>
      <c r="K226" s="12">
        <v>55000</v>
      </c>
      <c r="L226" s="115"/>
      <c r="M226" s="152">
        <f>29350+25000</f>
        <v>54350</v>
      </c>
      <c r="N226" s="115"/>
      <c r="O226" s="152">
        <f t="shared" si="0"/>
        <v>54350</v>
      </c>
      <c r="P226" s="114"/>
    </row>
    <row r="227" spans="1:16" ht="30.6" x14ac:dyDescent="0.25">
      <c r="A227" s="47" t="s">
        <v>471</v>
      </c>
      <c r="B227" s="6" t="s">
        <v>646</v>
      </c>
      <c r="C227" s="105" t="s">
        <v>699</v>
      </c>
      <c r="D227" s="113" t="s">
        <v>706</v>
      </c>
      <c r="E227" s="105" t="s">
        <v>653</v>
      </c>
      <c r="F227" s="138">
        <v>62</v>
      </c>
      <c r="G227" s="123">
        <v>244</v>
      </c>
      <c r="H227" s="44">
        <v>226</v>
      </c>
      <c r="I227" s="44"/>
      <c r="J227" s="114"/>
      <c r="K227" s="12">
        <v>71610</v>
      </c>
      <c r="L227" s="115"/>
      <c r="M227" s="152">
        <v>66200</v>
      </c>
      <c r="N227" s="115"/>
      <c r="O227" s="152">
        <f t="shared" si="0"/>
        <v>66200</v>
      </c>
      <c r="P227" s="114"/>
    </row>
    <row r="228" spans="1:16" ht="30.6" x14ac:dyDescent="0.25">
      <c r="A228" s="47" t="s">
        <v>472</v>
      </c>
      <c r="B228" s="6" t="s">
        <v>25</v>
      </c>
      <c r="C228" s="105" t="s">
        <v>699</v>
      </c>
      <c r="D228" s="113" t="s">
        <v>706</v>
      </c>
      <c r="E228" s="105" t="s">
        <v>655</v>
      </c>
      <c r="F228" s="138"/>
      <c r="G228" s="123">
        <v>244</v>
      </c>
      <c r="H228" s="44">
        <v>226</v>
      </c>
      <c r="I228" s="44"/>
      <c r="J228" s="114"/>
      <c r="K228" s="12">
        <v>190180.41</v>
      </c>
      <c r="L228" s="115"/>
      <c r="M228" s="152">
        <v>102280</v>
      </c>
      <c r="N228" s="115"/>
      <c r="O228" s="152">
        <f t="shared" si="0"/>
        <v>102280</v>
      </c>
      <c r="P228" s="114"/>
    </row>
    <row r="229" spans="1:16" x14ac:dyDescent="0.25">
      <c r="A229" s="47" t="s">
        <v>647</v>
      </c>
      <c r="B229" s="6" t="s">
        <v>648</v>
      </c>
      <c r="C229" s="105" t="s">
        <v>699</v>
      </c>
      <c r="D229" s="113" t="s">
        <v>706</v>
      </c>
      <c r="E229" s="123"/>
      <c r="F229" s="138">
        <v>62</v>
      </c>
      <c r="G229" s="123">
        <v>244</v>
      </c>
      <c r="H229" s="44">
        <v>310</v>
      </c>
      <c r="I229" s="44"/>
      <c r="J229" s="114"/>
      <c r="K229" s="12">
        <v>40000</v>
      </c>
      <c r="L229" s="115"/>
      <c r="M229" s="152"/>
      <c r="N229" s="115"/>
      <c r="O229" s="152"/>
      <c r="P229" s="114"/>
    </row>
    <row r="230" spans="1:16" ht="66" x14ac:dyDescent="0.25">
      <c r="A230" s="38">
        <v>33</v>
      </c>
      <c r="B230" s="5" t="s">
        <v>273</v>
      </c>
      <c r="C230" s="105"/>
      <c r="D230" s="113"/>
      <c r="E230" s="105"/>
      <c r="F230" s="138">
        <v>62</v>
      </c>
      <c r="G230" s="123">
        <v>244</v>
      </c>
      <c r="H230" s="28"/>
      <c r="I230" s="28"/>
      <c r="J230" s="114"/>
      <c r="K230" s="11">
        <f>SUM(K231:K235)</f>
        <v>866102.04</v>
      </c>
      <c r="L230" s="115"/>
      <c r="M230" s="152"/>
      <c r="N230" s="115"/>
      <c r="O230" s="152"/>
      <c r="P230" s="114"/>
    </row>
    <row r="231" spans="1:16" ht="163.19999999999999" x14ac:dyDescent="0.25">
      <c r="A231" s="39" t="s">
        <v>274</v>
      </c>
      <c r="B231" s="6" t="s">
        <v>131</v>
      </c>
      <c r="C231" s="105" t="s">
        <v>699</v>
      </c>
      <c r="D231" s="113" t="s">
        <v>708</v>
      </c>
      <c r="E231" s="105" t="s">
        <v>665</v>
      </c>
      <c r="F231" s="138">
        <v>62</v>
      </c>
      <c r="G231" s="123">
        <v>244</v>
      </c>
      <c r="H231" s="44">
        <v>226</v>
      </c>
      <c r="I231" s="44"/>
      <c r="J231" s="114"/>
      <c r="K231" s="12">
        <v>648000</v>
      </c>
      <c r="L231" s="115"/>
      <c r="M231" s="152">
        <f>97300+38500+151000+199100</f>
        <v>485900</v>
      </c>
      <c r="N231" s="115"/>
      <c r="O231" s="152">
        <f>M231</f>
        <v>485900</v>
      </c>
      <c r="P231" s="114"/>
    </row>
    <row r="232" spans="1:16" ht="26.4" x14ac:dyDescent="0.25">
      <c r="A232" s="39" t="s">
        <v>275</v>
      </c>
      <c r="B232" s="6" t="s">
        <v>25</v>
      </c>
      <c r="C232" s="105" t="s">
        <v>699</v>
      </c>
      <c r="D232" s="113" t="s">
        <v>708</v>
      </c>
      <c r="E232" s="123"/>
      <c r="F232" s="138">
        <v>62</v>
      </c>
      <c r="G232" s="123">
        <v>244</v>
      </c>
      <c r="H232" s="44">
        <v>226</v>
      </c>
      <c r="I232" s="44"/>
      <c r="J232" s="114"/>
      <c r="K232" s="12">
        <v>71102.039999999994</v>
      </c>
      <c r="L232" s="115"/>
      <c r="M232" s="152"/>
      <c r="N232" s="115"/>
      <c r="O232" s="152"/>
      <c r="P232" s="114"/>
    </row>
    <row r="233" spans="1:16" ht="40.799999999999997" x14ac:dyDescent="0.25">
      <c r="A233" s="39" t="s">
        <v>397</v>
      </c>
      <c r="B233" s="6" t="s">
        <v>660</v>
      </c>
      <c r="C233" s="105" t="s">
        <v>699</v>
      </c>
      <c r="D233" s="113" t="s">
        <v>708</v>
      </c>
      <c r="E233" s="105" t="s">
        <v>697</v>
      </c>
      <c r="F233" s="138">
        <v>62</v>
      </c>
      <c r="G233" s="123">
        <v>244</v>
      </c>
      <c r="H233" s="44">
        <v>342</v>
      </c>
      <c r="I233" s="44"/>
      <c r="J233" s="114"/>
      <c r="K233" s="12">
        <v>10000</v>
      </c>
      <c r="L233" s="115"/>
      <c r="M233" s="152">
        <v>8590</v>
      </c>
      <c r="N233" s="115"/>
      <c r="O233" s="152">
        <f>M233</f>
        <v>8590</v>
      </c>
      <c r="P233" s="114"/>
    </row>
    <row r="234" spans="1:16" ht="112.2" x14ac:dyDescent="0.25">
      <c r="A234" s="39" t="s">
        <v>661</v>
      </c>
      <c r="B234" s="6" t="s">
        <v>662</v>
      </c>
      <c r="C234" s="105" t="s">
        <v>699</v>
      </c>
      <c r="D234" s="113" t="s">
        <v>708</v>
      </c>
      <c r="E234" s="105" t="s">
        <v>667</v>
      </c>
      <c r="F234" s="138"/>
      <c r="G234" s="123">
        <v>244</v>
      </c>
      <c r="H234" s="44">
        <v>349</v>
      </c>
      <c r="I234" s="44"/>
      <c r="J234" s="114"/>
      <c r="K234" s="12">
        <v>67000</v>
      </c>
      <c r="L234" s="115"/>
      <c r="M234" s="152">
        <f>17000+13595+31529.45</f>
        <v>62124.45</v>
      </c>
      <c r="N234" s="115"/>
      <c r="O234" s="152">
        <f>M234</f>
        <v>62124.45</v>
      </c>
      <c r="P234" s="114"/>
    </row>
    <row r="235" spans="1:16" ht="71.400000000000006" x14ac:dyDescent="0.25">
      <c r="A235" s="39" t="s">
        <v>663</v>
      </c>
      <c r="B235" s="6" t="s">
        <v>664</v>
      </c>
      <c r="C235" s="105" t="s">
        <v>699</v>
      </c>
      <c r="D235" s="113" t="s">
        <v>708</v>
      </c>
      <c r="E235" s="105" t="s">
        <v>666</v>
      </c>
      <c r="F235" s="138">
        <v>62</v>
      </c>
      <c r="G235" s="123">
        <v>244</v>
      </c>
      <c r="H235" s="44">
        <v>346</v>
      </c>
      <c r="I235" s="44"/>
      <c r="J235" s="114"/>
      <c r="K235" s="12">
        <v>70000</v>
      </c>
      <c r="L235" s="115"/>
      <c r="M235" s="152">
        <f>8462.5+1290</f>
        <v>9752.5</v>
      </c>
      <c r="N235" s="115"/>
      <c r="O235" s="152">
        <f>M235</f>
        <v>9752.5</v>
      </c>
      <c r="P235" s="114"/>
    </row>
    <row r="236" spans="1:16" ht="39.6" x14ac:dyDescent="0.25">
      <c r="A236" s="38">
        <v>50</v>
      </c>
      <c r="B236" s="5" t="s">
        <v>276</v>
      </c>
      <c r="C236" s="105"/>
      <c r="D236" s="113"/>
      <c r="E236" s="105"/>
      <c r="F236" s="138">
        <v>62</v>
      </c>
      <c r="G236" s="123">
        <v>244</v>
      </c>
      <c r="H236" s="28"/>
      <c r="I236" s="28"/>
      <c r="J236" s="114"/>
      <c r="K236" s="11">
        <f>K237+K244</f>
        <v>757955</v>
      </c>
      <c r="L236" s="115"/>
      <c r="M236" s="152"/>
      <c r="N236" s="115"/>
      <c r="O236" s="152"/>
      <c r="P236" s="114"/>
    </row>
    <row r="237" spans="1:16" ht="39.6" x14ac:dyDescent="0.25">
      <c r="A237" s="39" t="s">
        <v>277</v>
      </c>
      <c r="B237" s="6" t="s">
        <v>115</v>
      </c>
      <c r="C237" s="105"/>
      <c r="D237" s="113" t="s">
        <v>712</v>
      </c>
      <c r="E237" s="123"/>
      <c r="F237" s="138">
        <v>62</v>
      </c>
      <c r="G237" s="123">
        <v>244</v>
      </c>
      <c r="H237" s="44">
        <v>226</v>
      </c>
      <c r="I237" s="44"/>
      <c r="J237" s="114"/>
      <c r="K237" s="12">
        <v>700000</v>
      </c>
      <c r="L237" s="115"/>
      <c r="M237" s="152"/>
      <c r="N237" s="115"/>
      <c r="O237" s="152"/>
      <c r="P237" s="114"/>
    </row>
    <row r="238" spans="1:16" ht="39.6" x14ac:dyDescent="0.25">
      <c r="A238" s="42" t="s">
        <v>278</v>
      </c>
      <c r="B238" s="6" t="s">
        <v>473</v>
      </c>
      <c r="C238" s="105"/>
      <c r="D238" s="113"/>
      <c r="E238" s="123"/>
      <c r="F238" s="138">
        <v>62</v>
      </c>
      <c r="G238" s="123">
        <v>244</v>
      </c>
      <c r="H238" s="44"/>
      <c r="I238" s="44"/>
      <c r="J238" s="114"/>
      <c r="K238" s="12"/>
      <c r="L238" s="115"/>
      <c r="M238" s="152"/>
      <c r="N238" s="115"/>
      <c r="O238" s="152"/>
      <c r="P238" s="114"/>
    </row>
    <row r="239" spans="1:16" x14ac:dyDescent="0.25">
      <c r="A239" s="42" t="s">
        <v>279</v>
      </c>
      <c r="B239" s="6" t="s">
        <v>280</v>
      </c>
      <c r="C239" s="105"/>
      <c r="D239" s="113"/>
      <c r="E239" s="123"/>
      <c r="F239" s="138">
        <v>62</v>
      </c>
      <c r="G239" s="123">
        <v>244</v>
      </c>
      <c r="H239" s="44"/>
      <c r="I239" s="44"/>
      <c r="J239" s="114"/>
      <c r="K239" s="12"/>
      <c r="L239" s="115"/>
      <c r="M239" s="152"/>
      <c r="N239" s="115"/>
      <c r="O239" s="152"/>
      <c r="P239" s="114"/>
    </row>
    <row r="240" spans="1:16" x14ac:dyDescent="0.25">
      <c r="A240" s="42" t="s">
        <v>281</v>
      </c>
      <c r="B240" s="6" t="s">
        <v>282</v>
      </c>
      <c r="C240" s="105"/>
      <c r="D240" s="113"/>
      <c r="E240" s="123"/>
      <c r="F240" s="138">
        <v>62</v>
      </c>
      <c r="G240" s="123">
        <v>244</v>
      </c>
      <c r="H240" s="44"/>
      <c r="I240" s="44"/>
      <c r="J240" s="114"/>
      <c r="K240" s="12"/>
      <c r="L240" s="115"/>
      <c r="M240" s="152"/>
      <c r="N240" s="115"/>
      <c r="O240" s="152"/>
      <c r="P240" s="114"/>
    </row>
    <row r="241" spans="1:16" x14ac:dyDescent="0.25">
      <c r="A241" s="42" t="s">
        <v>283</v>
      </c>
      <c r="B241" s="6" t="s">
        <v>22</v>
      </c>
      <c r="C241" s="105"/>
      <c r="D241" s="113"/>
      <c r="E241" s="123"/>
      <c r="F241" s="138">
        <v>62</v>
      </c>
      <c r="G241" s="123">
        <v>244</v>
      </c>
      <c r="H241" s="44"/>
      <c r="I241" s="44"/>
      <c r="J241" s="114"/>
      <c r="K241" s="12"/>
      <c r="L241" s="115"/>
      <c r="M241" s="152"/>
      <c r="N241" s="115"/>
      <c r="O241" s="152"/>
      <c r="P241" s="114"/>
    </row>
    <row r="242" spans="1:16" x14ac:dyDescent="0.25">
      <c r="A242" s="39" t="s">
        <v>284</v>
      </c>
      <c r="B242" s="6" t="s">
        <v>12</v>
      </c>
      <c r="C242" s="105"/>
      <c r="D242" s="113"/>
      <c r="E242" s="123"/>
      <c r="F242" s="138">
        <v>62</v>
      </c>
      <c r="G242" s="123">
        <v>244</v>
      </c>
      <c r="H242" s="44"/>
      <c r="I242" s="44"/>
      <c r="J242" s="114"/>
      <c r="K242" s="12"/>
      <c r="L242" s="115"/>
      <c r="M242" s="152"/>
      <c r="N242" s="115"/>
      <c r="O242" s="152"/>
      <c r="P242" s="114"/>
    </row>
    <row r="243" spans="1:16" ht="26.4" x14ac:dyDescent="0.25">
      <c r="A243" s="39" t="s">
        <v>285</v>
      </c>
      <c r="B243" s="6" t="s">
        <v>211</v>
      </c>
      <c r="C243" s="105"/>
      <c r="D243" s="113"/>
      <c r="E243" s="123"/>
      <c r="F243" s="138">
        <v>62</v>
      </c>
      <c r="G243" s="123">
        <v>244</v>
      </c>
      <c r="H243" s="44"/>
      <c r="I243" s="44"/>
      <c r="J243" s="114"/>
      <c r="K243" s="12"/>
      <c r="L243" s="115"/>
      <c r="M243" s="152"/>
      <c r="N243" s="115"/>
      <c r="O243" s="152"/>
      <c r="P243" s="114"/>
    </row>
    <row r="244" spans="1:16" ht="26.4" x14ac:dyDescent="0.25">
      <c r="A244" s="39" t="s">
        <v>286</v>
      </c>
      <c r="B244" s="6" t="s">
        <v>25</v>
      </c>
      <c r="C244" s="105" t="s">
        <v>699</v>
      </c>
      <c r="D244" s="113" t="s">
        <v>712</v>
      </c>
      <c r="E244" s="123"/>
      <c r="F244" s="138">
        <v>62</v>
      </c>
      <c r="G244" s="123">
        <v>244</v>
      </c>
      <c r="H244" s="44">
        <v>226</v>
      </c>
      <c r="I244" s="44"/>
      <c r="J244" s="114"/>
      <c r="K244" s="12">
        <v>57955</v>
      </c>
      <c r="L244" s="115"/>
      <c r="M244" s="152"/>
      <c r="N244" s="115"/>
      <c r="O244" s="152"/>
      <c r="P244" s="114"/>
    </row>
    <row r="245" spans="1:16" ht="52.8" x14ac:dyDescent="0.25">
      <c r="A245" s="38">
        <v>66</v>
      </c>
      <c r="B245" s="5" t="s">
        <v>149</v>
      </c>
      <c r="C245" s="105"/>
      <c r="D245" s="113"/>
      <c r="E245" s="123"/>
      <c r="F245" s="138">
        <v>62</v>
      </c>
      <c r="G245" s="123">
        <v>244</v>
      </c>
      <c r="H245" s="28"/>
      <c r="I245" s="28"/>
      <c r="J245" s="114"/>
      <c r="K245" s="11">
        <f>K246+K250</f>
        <v>194847.35999999999</v>
      </c>
      <c r="L245" s="115"/>
      <c r="M245" s="152"/>
      <c r="N245" s="115"/>
      <c r="O245" s="152"/>
      <c r="P245" s="114"/>
    </row>
    <row r="246" spans="1:16" ht="26.4" x14ac:dyDescent="0.25">
      <c r="A246" s="47" t="s">
        <v>287</v>
      </c>
      <c r="B246" s="6" t="s">
        <v>150</v>
      </c>
      <c r="C246" s="105"/>
      <c r="D246" s="113" t="s">
        <v>705</v>
      </c>
      <c r="E246" s="123"/>
      <c r="F246" s="138">
        <v>62</v>
      </c>
      <c r="G246" s="123">
        <v>244</v>
      </c>
      <c r="H246" s="44">
        <v>226</v>
      </c>
      <c r="I246" s="44"/>
      <c r="J246" s="114"/>
      <c r="K246" s="12">
        <v>100000</v>
      </c>
      <c r="L246" s="115"/>
      <c r="M246" s="152"/>
      <c r="N246" s="115"/>
      <c r="O246" s="152"/>
      <c r="P246" s="114"/>
    </row>
    <row r="247" spans="1:16" ht="66" x14ac:dyDescent="0.25">
      <c r="A247" s="47"/>
      <c r="B247" s="6" t="s">
        <v>474</v>
      </c>
      <c r="C247" s="105"/>
      <c r="D247" s="113"/>
      <c r="E247" s="123"/>
      <c r="F247" s="138">
        <v>62</v>
      </c>
      <c r="G247" s="123">
        <v>244</v>
      </c>
      <c r="H247" s="44"/>
      <c r="I247" s="44"/>
      <c r="J247" s="114"/>
      <c r="K247" s="12"/>
      <c r="L247" s="115"/>
      <c r="M247" s="152"/>
      <c r="N247" s="115"/>
      <c r="O247" s="152"/>
      <c r="P247" s="114"/>
    </row>
    <row r="248" spans="1:16" ht="52.8" x14ac:dyDescent="0.25">
      <c r="A248" s="47"/>
      <c r="B248" s="6" t="s">
        <v>475</v>
      </c>
      <c r="C248" s="105"/>
      <c r="D248" s="113"/>
      <c r="E248" s="123"/>
      <c r="F248" s="138">
        <v>62</v>
      </c>
      <c r="G248" s="123">
        <v>244</v>
      </c>
      <c r="H248" s="44"/>
      <c r="I248" s="44"/>
      <c r="J248" s="114"/>
      <c r="K248" s="12"/>
      <c r="L248" s="115"/>
      <c r="M248" s="152"/>
      <c r="N248" s="115"/>
      <c r="O248" s="152"/>
      <c r="P248" s="114"/>
    </row>
    <row r="249" spans="1:16" x14ac:dyDescent="0.25">
      <c r="A249" s="47"/>
      <c r="B249" s="6" t="s">
        <v>44</v>
      </c>
      <c r="C249" s="105"/>
      <c r="D249" s="113"/>
      <c r="E249" s="123"/>
      <c r="F249" s="138">
        <v>62</v>
      </c>
      <c r="G249" s="123">
        <v>244</v>
      </c>
      <c r="H249" s="44"/>
      <c r="I249" s="44"/>
      <c r="J249" s="114"/>
      <c r="K249" s="12"/>
      <c r="L249" s="115"/>
      <c r="M249" s="152"/>
      <c r="N249" s="115"/>
      <c r="O249" s="152"/>
      <c r="P249" s="114"/>
    </row>
    <row r="250" spans="1:16" ht="27" thickBot="1" x14ac:dyDescent="0.3">
      <c r="A250" s="62" t="s">
        <v>288</v>
      </c>
      <c r="B250" s="77" t="s">
        <v>25</v>
      </c>
      <c r="C250" s="129" t="s">
        <v>699</v>
      </c>
      <c r="D250" s="144" t="s">
        <v>713</v>
      </c>
      <c r="E250" s="145"/>
      <c r="F250" s="129">
        <v>62</v>
      </c>
      <c r="G250" s="123">
        <v>244</v>
      </c>
      <c r="H250" s="79">
        <v>226</v>
      </c>
      <c r="I250" s="79"/>
      <c r="J250" s="131"/>
      <c r="K250" s="83">
        <v>94847.360000000001</v>
      </c>
      <c r="L250" s="132"/>
      <c r="M250" s="172"/>
      <c r="N250" s="132"/>
      <c r="O250" s="172"/>
      <c r="P250" s="131"/>
    </row>
    <row r="251" spans="1:16" ht="13.8" thickBot="1" x14ac:dyDescent="0.3">
      <c r="A251" s="32"/>
      <c r="B251" s="33" t="s">
        <v>8</v>
      </c>
      <c r="C251" s="146"/>
      <c r="D251" s="147"/>
      <c r="E251" s="148"/>
      <c r="F251" s="148"/>
      <c r="G251" s="148"/>
      <c r="H251" s="148"/>
      <c r="I251" s="148"/>
      <c r="J251" s="149"/>
      <c r="K251" s="36">
        <f>K215+K218+K230+K236+K245</f>
        <v>4545336.8500000006</v>
      </c>
      <c r="L251" s="150"/>
      <c r="M251" s="182">
        <f>SUM(M216:M250)</f>
        <v>2683185.9500000002</v>
      </c>
      <c r="N251" s="150"/>
      <c r="O251" s="173">
        <f>SUM(O216:O250)</f>
        <v>2647185.9500000002</v>
      </c>
      <c r="P251" s="149"/>
    </row>
    <row r="252" spans="1:16" ht="39.6" x14ac:dyDescent="0.25">
      <c r="A252" s="49" t="s">
        <v>290</v>
      </c>
      <c r="B252" s="17" t="s">
        <v>291</v>
      </c>
      <c r="C252" s="138"/>
      <c r="D252" s="139"/>
      <c r="E252" s="151"/>
      <c r="F252" s="151">
        <v>59</v>
      </c>
      <c r="G252" s="151"/>
      <c r="H252" s="151"/>
      <c r="I252" s="151"/>
      <c r="J252" s="140"/>
      <c r="K252" s="82"/>
      <c r="L252" s="142"/>
      <c r="M252" s="159"/>
      <c r="N252" s="142"/>
      <c r="O252" s="159"/>
      <c r="P252" s="140"/>
    </row>
    <row r="253" spans="1:16" ht="26.4" x14ac:dyDescent="0.25">
      <c r="A253" s="39" t="s">
        <v>151</v>
      </c>
      <c r="B253" s="6" t="s">
        <v>67</v>
      </c>
      <c r="C253" s="105"/>
      <c r="D253" s="113"/>
      <c r="E253" s="105" t="s">
        <v>596</v>
      </c>
      <c r="F253" s="123">
        <v>59</v>
      </c>
      <c r="G253" s="123"/>
      <c r="H253" s="53" t="s">
        <v>518</v>
      </c>
      <c r="I253" s="54"/>
      <c r="J253" s="114"/>
      <c r="K253" s="12">
        <v>13627243.6</v>
      </c>
      <c r="L253" s="115"/>
      <c r="M253" s="152">
        <v>5324266.3899999997</v>
      </c>
      <c r="N253" s="115"/>
      <c r="O253" s="152">
        <f t="shared" ref="O253:O258" si="1">M253</f>
        <v>5324266.3899999997</v>
      </c>
      <c r="P253" s="114"/>
    </row>
    <row r="254" spans="1:16" ht="26.4" x14ac:dyDescent="0.25">
      <c r="A254" s="39" t="s">
        <v>156</v>
      </c>
      <c r="B254" s="6" t="s">
        <v>476</v>
      </c>
      <c r="C254" s="105"/>
      <c r="D254" s="113"/>
      <c r="E254" s="123"/>
      <c r="F254" s="123">
        <v>59</v>
      </c>
      <c r="G254" s="123"/>
      <c r="H254" s="53" t="s">
        <v>519</v>
      </c>
      <c r="I254" s="54"/>
      <c r="J254" s="114"/>
      <c r="K254" s="12">
        <v>1200</v>
      </c>
      <c r="L254" s="115"/>
      <c r="M254" s="152">
        <v>300</v>
      </c>
      <c r="N254" s="115"/>
      <c r="O254" s="152">
        <f t="shared" si="1"/>
        <v>300</v>
      </c>
      <c r="P254" s="114"/>
    </row>
    <row r="255" spans="1:16" ht="39.6" x14ac:dyDescent="0.25">
      <c r="A255" s="39" t="s">
        <v>17</v>
      </c>
      <c r="B255" s="6" t="s">
        <v>68</v>
      </c>
      <c r="C255" s="105"/>
      <c r="D255" s="113"/>
      <c r="E255" s="123"/>
      <c r="F255" s="123">
        <v>59</v>
      </c>
      <c r="G255" s="123"/>
      <c r="H255" s="53" t="s">
        <v>518</v>
      </c>
      <c r="I255" s="54" t="s">
        <v>520</v>
      </c>
      <c r="J255" s="114"/>
      <c r="K255" s="12">
        <v>156960</v>
      </c>
      <c r="L255" s="115"/>
      <c r="M255" s="152">
        <v>62500</v>
      </c>
      <c r="N255" s="115"/>
      <c r="O255" s="152">
        <f t="shared" si="1"/>
        <v>62500</v>
      </c>
      <c r="P255" s="114"/>
    </row>
    <row r="256" spans="1:16" x14ac:dyDescent="0.25">
      <c r="A256" s="39" t="s">
        <v>19</v>
      </c>
      <c r="B256" s="6" t="s">
        <v>69</v>
      </c>
      <c r="C256" s="105"/>
      <c r="D256" s="113"/>
      <c r="E256" s="123"/>
      <c r="F256" s="123">
        <v>59</v>
      </c>
      <c r="G256" s="123"/>
      <c r="H256" s="53" t="s">
        <v>521</v>
      </c>
      <c r="I256" s="54"/>
      <c r="J256" s="114"/>
      <c r="K256" s="12">
        <v>4126299.89</v>
      </c>
      <c r="L256" s="115"/>
      <c r="M256" s="152">
        <v>1573330.57</v>
      </c>
      <c r="N256" s="115"/>
      <c r="O256" s="152">
        <f t="shared" si="1"/>
        <v>1573330.57</v>
      </c>
      <c r="P256" s="114"/>
    </row>
    <row r="257" spans="1:16" ht="26.4" x14ac:dyDescent="0.25">
      <c r="A257" s="39" t="s">
        <v>1</v>
      </c>
      <c r="B257" s="6" t="s">
        <v>70</v>
      </c>
      <c r="C257" s="105"/>
      <c r="D257" s="113"/>
      <c r="E257" s="123"/>
      <c r="F257" s="123">
        <v>59</v>
      </c>
      <c r="G257" s="123"/>
      <c r="H257" s="53" t="s">
        <v>521</v>
      </c>
      <c r="I257" s="54" t="s">
        <v>520</v>
      </c>
      <c r="J257" s="114"/>
      <c r="K257" s="12">
        <v>47402</v>
      </c>
      <c r="L257" s="115"/>
      <c r="M257" s="152">
        <v>18874.48</v>
      </c>
      <c r="N257" s="115"/>
      <c r="O257" s="152">
        <f t="shared" si="1"/>
        <v>18874.48</v>
      </c>
      <c r="P257" s="114"/>
    </row>
    <row r="258" spans="1:16" ht="26.4" x14ac:dyDescent="0.25">
      <c r="A258" s="39" t="s">
        <v>2</v>
      </c>
      <c r="B258" s="6" t="s">
        <v>477</v>
      </c>
      <c r="C258" s="105"/>
      <c r="D258" s="113"/>
      <c r="E258" s="123"/>
      <c r="F258" s="123">
        <v>59</v>
      </c>
      <c r="G258" s="123"/>
      <c r="H258" s="53" t="s">
        <v>519</v>
      </c>
      <c r="I258" s="54"/>
      <c r="J258" s="114"/>
      <c r="K258" s="12">
        <v>36000</v>
      </c>
      <c r="L258" s="115"/>
      <c r="M258" s="152">
        <v>32268.75</v>
      </c>
      <c r="N258" s="115"/>
      <c r="O258" s="152">
        <f t="shared" si="1"/>
        <v>32268.75</v>
      </c>
      <c r="P258" s="114"/>
    </row>
    <row r="259" spans="1:16" ht="26.4" x14ac:dyDescent="0.25">
      <c r="A259" s="39" t="s">
        <v>3</v>
      </c>
      <c r="B259" s="6" t="s">
        <v>292</v>
      </c>
      <c r="C259" s="105" t="s">
        <v>699</v>
      </c>
      <c r="D259" s="113" t="s">
        <v>702</v>
      </c>
      <c r="E259" s="123"/>
      <c r="F259" s="123">
        <v>59</v>
      </c>
      <c r="G259" s="123">
        <v>244</v>
      </c>
      <c r="H259" s="53" t="s">
        <v>522</v>
      </c>
      <c r="I259" s="54"/>
      <c r="J259" s="114"/>
      <c r="K259" s="12">
        <v>3180</v>
      </c>
      <c r="L259" s="115"/>
      <c r="M259" s="152"/>
      <c r="N259" s="115"/>
      <c r="O259" s="152"/>
      <c r="P259" s="114"/>
    </row>
    <row r="260" spans="1:16" ht="30.6" x14ac:dyDescent="0.25">
      <c r="A260" s="39" t="s">
        <v>478</v>
      </c>
      <c r="B260" s="6" t="s">
        <v>678</v>
      </c>
      <c r="C260" s="105" t="s">
        <v>699</v>
      </c>
      <c r="D260" s="113" t="s">
        <v>700</v>
      </c>
      <c r="E260" s="105" t="s">
        <v>597</v>
      </c>
      <c r="F260" s="123">
        <v>59</v>
      </c>
      <c r="G260" s="123">
        <v>244</v>
      </c>
      <c r="H260" s="53" t="s">
        <v>523</v>
      </c>
      <c r="I260" s="54"/>
      <c r="J260" s="114"/>
      <c r="K260" s="12">
        <f>INT(2829500.4)</f>
        <v>2829500</v>
      </c>
      <c r="L260" s="115"/>
      <c r="M260" s="152">
        <v>2669340</v>
      </c>
      <c r="N260" s="115"/>
      <c r="O260" s="152">
        <v>1334670</v>
      </c>
      <c r="P260" s="114"/>
    </row>
    <row r="261" spans="1:16" ht="33" customHeight="1" x14ac:dyDescent="0.25">
      <c r="A261" s="39" t="s">
        <v>479</v>
      </c>
      <c r="B261" s="6" t="s">
        <v>679</v>
      </c>
      <c r="C261" s="105" t="s">
        <v>699</v>
      </c>
      <c r="D261" s="113" t="s">
        <v>700</v>
      </c>
      <c r="E261" s="105" t="s">
        <v>680</v>
      </c>
      <c r="F261" s="123">
        <v>59</v>
      </c>
      <c r="G261" s="123">
        <v>244</v>
      </c>
      <c r="H261" s="53" t="s">
        <v>523</v>
      </c>
      <c r="I261" s="54"/>
      <c r="J261" s="114"/>
      <c r="K261" s="12">
        <f>(200*700*12)</f>
        <v>1680000</v>
      </c>
      <c r="L261" s="115"/>
      <c r="M261" s="152">
        <v>1098225</v>
      </c>
      <c r="N261" s="115"/>
      <c r="O261" s="152">
        <v>366075</v>
      </c>
      <c r="P261" s="114"/>
    </row>
    <row r="262" spans="1:16" ht="39.6" x14ac:dyDescent="0.25">
      <c r="A262" s="39" t="s">
        <v>480</v>
      </c>
      <c r="B262" s="6" t="s">
        <v>481</v>
      </c>
      <c r="C262" s="105" t="s">
        <v>699</v>
      </c>
      <c r="D262" s="113" t="s">
        <v>706</v>
      </c>
      <c r="E262" s="105" t="s">
        <v>681</v>
      </c>
      <c r="F262" s="123">
        <v>59</v>
      </c>
      <c r="G262" s="123">
        <v>244</v>
      </c>
      <c r="H262" s="53" t="s">
        <v>523</v>
      </c>
      <c r="I262" s="54"/>
      <c r="J262" s="114"/>
      <c r="K262" s="12">
        <v>1509345</v>
      </c>
      <c r="L262" s="115"/>
      <c r="M262" s="152">
        <v>1331775</v>
      </c>
      <c r="N262" s="115"/>
      <c r="O262" s="152">
        <v>443925</v>
      </c>
      <c r="P262" s="114"/>
    </row>
    <row r="263" spans="1:16" ht="26.4" x14ac:dyDescent="0.25">
      <c r="A263" s="39" t="s">
        <v>26</v>
      </c>
      <c r="B263" s="6" t="s">
        <v>482</v>
      </c>
      <c r="C263" s="105" t="s">
        <v>699</v>
      </c>
      <c r="D263" s="113" t="s">
        <v>702</v>
      </c>
      <c r="E263" s="123"/>
      <c r="F263" s="123">
        <v>59</v>
      </c>
      <c r="G263" s="123">
        <v>244</v>
      </c>
      <c r="H263" s="53" t="s">
        <v>524</v>
      </c>
      <c r="I263" s="54"/>
      <c r="J263" s="114"/>
      <c r="K263" s="12">
        <v>37100</v>
      </c>
      <c r="L263" s="115"/>
      <c r="M263" s="152"/>
      <c r="N263" s="115"/>
      <c r="O263" s="152"/>
      <c r="P263" s="114"/>
    </row>
    <row r="264" spans="1:16" ht="102" x14ac:dyDescent="0.25">
      <c r="A264" s="39" t="s">
        <v>28</v>
      </c>
      <c r="B264" s="18" t="s">
        <v>483</v>
      </c>
      <c r="C264" s="105" t="s">
        <v>699</v>
      </c>
      <c r="D264" s="113" t="s">
        <v>702</v>
      </c>
      <c r="E264" s="105" t="s">
        <v>682</v>
      </c>
      <c r="F264" s="123">
        <v>59</v>
      </c>
      <c r="G264" s="123">
        <v>244</v>
      </c>
      <c r="H264" s="53" t="s">
        <v>525</v>
      </c>
      <c r="I264" s="54"/>
      <c r="J264" s="114"/>
      <c r="K264" s="12">
        <v>415000</v>
      </c>
      <c r="L264" s="115"/>
      <c r="M264" s="152">
        <f>O264</f>
        <v>203751</v>
      </c>
      <c r="N264" s="115"/>
      <c r="O264" s="152">
        <f>46920+73200+83631</f>
        <v>203751</v>
      </c>
      <c r="P264" s="114"/>
    </row>
    <row r="265" spans="1:16" ht="26.4" x14ac:dyDescent="0.25">
      <c r="A265" s="39" t="s">
        <v>30</v>
      </c>
      <c r="B265" s="6" t="s">
        <v>294</v>
      </c>
      <c r="C265" s="105" t="s">
        <v>699</v>
      </c>
      <c r="D265" s="113" t="s">
        <v>713</v>
      </c>
      <c r="E265" s="123"/>
      <c r="F265" s="123">
        <v>59</v>
      </c>
      <c r="G265" s="123">
        <v>244</v>
      </c>
      <c r="H265" s="53" t="s">
        <v>525</v>
      </c>
      <c r="I265" s="54" t="s">
        <v>520</v>
      </c>
      <c r="J265" s="114"/>
      <c r="K265" s="12">
        <v>95743</v>
      </c>
      <c r="L265" s="115"/>
      <c r="M265" s="152"/>
      <c r="N265" s="115"/>
      <c r="O265" s="152"/>
      <c r="P265" s="114"/>
    </row>
    <row r="266" spans="1:16" ht="40.799999999999997" x14ac:dyDescent="0.25">
      <c r="A266" s="39" t="s">
        <v>169</v>
      </c>
      <c r="B266" s="6" t="s">
        <v>71</v>
      </c>
      <c r="C266" s="105" t="s">
        <v>699</v>
      </c>
      <c r="D266" s="113" t="s">
        <v>700</v>
      </c>
      <c r="E266" s="105" t="s">
        <v>598</v>
      </c>
      <c r="F266" s="123">
        <v>59</v>
      </c>
      <c r="G266" s="123">
        <v>242</v>
      </c>
      <c r="H266" s="53" t="s">
        <v>522</v>
      </c>
      <c r="I266" s="54"/>
      <c r="J266" s="114"/>
      <c r="K266" s="12">
        <v>3180</v>
      </c>
      <c r="L266" s="115"/>
      <c r="M266" s="152">
        <v>1500</v>
      </c>
      <c r="N266" s="115"/>
      <c r="O266" s="152">
        <f>243.15+2.66+79.1+90.94+45.6</f>
        <v>461.45</v>
      </c>
      <c r="P266" s="114"/>
    </row>
    <row r="267" spans="1:16" ht="30.6" x14ac:dyDescent="0.25">
      <c r="A267" s="39" t="s">
        <v>170</v>
      </c>
      <c r="B267" s="6" t="s">
        <v>71</v>
      </c>
      <c r="C267" s="105" t="s">
        <v>699</v>
      </c>
      <c r="D267" s="113" t="s">
        <v>700</v>
      </c>
      <c r="E267" s="105" t="s">
        <v>599</v>
      </c>
      <c r="F267" s="123">
        <v>59</v>
      </c>
      <c r="G267" s="123">
        <v>242</v>
      </c>
      <c r="H267" s="53" t="s">
        <v>522</v>
      </c>
      <c r="I267" s="54"/>
      <c r="J267" s="114"/>
      <c r="K267" s="12">
        <v>26500</v>
      </c>
      <c r="L267" s="115"/>
      <c r="M267" s="152">
        <v>25000</v>
      </c>
      <c r="N267" s="115"/>
      <c r="O267" s="152">
        <f>3970.75+4069.63+2074.62+1948.88</f>
        <v>12063.880000000001</v>
      </c>
      <c r="P267" s="114"/>
    </row>
    <row r="268" spans="1:16" ht="81.599999999999994" x14ac:dyDescent="0.25">
      <c r="A268" s="39" t="s">
        <v>171</v>
      </c>
      <c r="B268" s="6" t="s">
        <v>484</v>
      </c>
      <c r="C268" s="105" t="s">
        <v>699</v>
      </c>
      <c r="D268" s="113" t="s">
        <v>700</v>
      </c>
      <c r="E268" s="105" t="s">
        <v>695</v>
      </c>
      <c r="F268" s="123">
        <v>59</v>
      </c>
      <c r="G268" s="123">
        <v>242</v>
      </c>
      <c r="H268" s="53" t="s">
        <v>522</v>
      </c>
      <c r="I268" s="54"/>
      <c r="J268" s="114"/>
      <c r="K268" s="12">
        <v>94340</v>
      </c>
      <c r="L268" s="115"/>
      <c r="M268" s="152">
        <f>72000+5590</f>
        <v>77590</v>
      </c>
      <c r="N268" s="115"/>
      <c r="O268" s="152">
        <f>36000+2370</f>
        <v>38370</v>
      </c>
      <c r="P268" s="114"/>
    </row>
    <row r="269" spans="1:16" x14ac:dyDescent="0.25">
      <c r="A269" s="39" t="s">
        <v>33</v>
      </c>
      <c r="B269" s="6" t="s">
        <v>14</v>
      </c>
      <c r="C269" s="105" t="s">
        <v>699</v>
      </c>
      <c r="D269" s="113" t="s">
        <v>702</v>
      </c>
      <c r="E269" s="123"/>
      <c r="F269" s="123">
        <v>59</v>
      </c>
      <c r="G269" s="123">
        <v>244</v>
      </c>
      <c r="H269" s="53" t="s">
        <v>526</v>
      </c>
      <c r="I269" s="54"/>
      <c r="J269" s="114"/>
      <c r="K269" s="12">
        <v>22578</v>
      </c>
      <c r="L269" s="115"/>
      <c r="M269" s="152"/>
      <c r="N269" s="115"/>
      <c r="O269" s="152"/>
      <c r="P269" s="114"/>
    </row>
    <row r="270" spans="1:16" ht="43.5" customHeight="1" x14ac:dyDescent="0.25">
      <c r="A270" s="39" t="s">
        <v>35</v>
      </c>
      <c r="B270" s="6" t="s">
        <v>295</v>
      </c>
      <c r="C270" s="105" t="s">
        <v>699</v>
      </c>
      <c r="D270" s="113" t="s">
        <v>700</v>
      </c>
      <c r="E270" s="105" t="s">
        <v>600</v>
      </c>
      <c r="F270" s="123">
        <v>59</v>
      </c>
      <c r="G270" s="123">
        <v>242</v>
      </c>
      <c r="H270" s="53" t="s">
        <v>524</v>
      </c>
      <c r="I270" s="54"/>
      <c r="J270" s="114"/>
      <c r="K270" s="12">
        <f>(35000+50000)*1.06</f>
        <v>90100</v>
      </c>
      <c r="L270" s="115"/>
      <c r="M270" s="152">
        <v>83000</v>
      </c>
      <c r="N270" s="115"/>
      <c r="O270" s="152">
        <v>38850</v>
      </c>
      <c r="P270" s="114"/>
    </row>
    <row r="271" spans="1:16" ht="71.400000000000006" x14ac:dyDescent="0.25">
      <c r="A271" s="39" t="s">
        <v>36</v>
      </c>
      <c r="B271" s="6" t="s">
        <v>296</v>
      </c>
      <c r="C271" s="105" t="s">
        <v>699</v>
      </c>
      <c r="D271" s="113" t="s">
        <v>702</v>
      </c>
      <c r="E271" s="105" t="s">
        <v>601</v>
      </c>
      <c r="F271" s="123">
        <v>59</v>
      </c>
      <c r="G271" s="123">
        <v>242</v>
      </c>
      <c r="H271" s="53" t="s">
        <v>525</v>
      </c>
      <c r="I271" s="54"/>
      <c r="J271" s="114"/>
      <c r="K271" s="13">
        <v>100000</v>
      </c>
      <c r="L271" s="115"/>
      <c r="M271" s="152">
        <f>59136+38980</f>
        <v>98116</v>
      </c>
      <c r="N271" s="115"/>
      <c r="O271" s="152">
        <f>38980+59136</f>
        <v>98116</v>
      </c>
      <c r="P271" s="114"/>
    </row>
    <row r="272" spans="1:16" ht="26.4" x14ac:dyDescent="0.25">
      <c r="A272" s="39" t="s">
        <v>38</v>
      </c>
      <c r="B272" s="6" t="s">
        <v>297</v>
      </c>
      <c r="C272" s="105" t="s">
        <v>699</v>
      </c>
      <c r="D272" s="113" t="s">
        <v>700</v>
      </c>
      <c r="E272" s="123"/>
      <c r="F272" s="123">
        <v>59</v>
      </c>
      <c r="G272" s="123">
        <v>244</v>
      </c>
      <c r="H272" s="53" t="s">
        <v>527</v>
      </c>
      <c r="I272" s="54"/>
      <c r="J272" s="114"/>
      <c r="K272" s="12">
        <v>2120</v>
      </c>
      <c r="L272" s="115"/>
      <c r="M272" s="152"/>
      <c r="N272" s="115"/>
      <c r="O272" s="152"/>
      <c r="P272" s="114"/>
    </row>
    <row r="273" spans="1:16" x14ac:dyDescent="0.25">
      <c r="A273" s="39" t="s">
        <v>39</v>
      </c>
      <c r="B273" s="6" t="s">
        <v>72</v>
      </c>
      <c r="C273" s="105" t="s">
        <v>699</v>
      </c>
      <c r="D273" s="113" t="s">
        <v>702</v>
      </c>
      <c r="E273" s="123"/>
      <c r="F273" s="123">
        <v>59</v>
      </c>
      <c r="G273" s="123">
        <v>244</v>
      </c>
      <c r="H273" s="53" t="s">
        <v>527</v>
      </c>
      <c r="I273" s="54"/>
      <c r="J273" s="114"/>
      <c r="K273" s="12">
        <v>53000</v>
      </c>
      <c r="L273" s="115"/>
      <c r="M273" s="152"/>
      <c r="N273" s="115"/>
      <c r="O273" s="152"/>
      <c r="P273" s="114"/>
    </row>
    <row r="274" spans="1:16" ht="102" x14ac:dyDescent="0.25">
      <c r="A274" s="39" t="s">
        <v>124</v>
      </c>
      <c r="B274" s="6" t="s">
        <v>73</v>
      </c>
      <c r="C274" s="105" t="s">
        <v>699</v>
      </c>
      <c r="D274" s="113" t="s">
        <v>711</v>
      </c>
      <c r="E274" s="105" t="s">
        <v>676</v>
      </c>
      <c r="F274" s="123">
        <v>59</v>
      </c>
      <c r="G274" s="123">
        <v>244</v>
      </c>
      <c r="H274" s="53" t="s">
        <v>527</v>
      </c>
      <c r="I274" s="54"/>
      <c r="J274" s="114"/>
      <c r="K274" s="12">
        <v>127200</v>
      </c>
      <c r="L274" s="115"/>
      <c r="M274" s="152">
        <f>2650+400+2810+2790</f>
        <v>8650</v>
      </c>
      <c r="N274" s="115"/>
      <c r="O274" s="152">
        <f>M274</f>
        <v>8650</v>
      </c>
      <c r="P274" s="114"/>
    </row>
    <row r="275" spans="1:16" ht="163.19999999999999" x14ac:dyDescent="0.25">
      <c r="A275" s="39" t="s">
        <v>153</v>
      </c>
      <c r="B275" s="18" t="s">
        <v>74</v>
      </c>
      <c r="C275" s="105" t="s">
        <v>699</v>
      </c>
      <c r="D275" s="113" t="s">
        <v>702</v>
      </c>
      <c r="E275" s="105" t="s">
        <v>685</v>
      </c>
      <c r="F275" s="123">
        <v>59</v>
      </c>
      <c r="G275" s="123">
        <v>244</v>
      </c>
      <c r="H275" s="53" t="s">
        <v>527</v>
      </c>
      <c r="I275" s="54"/>
      <c r="J275" s="114"/>
      <c r="K275" s="12">
        <v>114780</v>
      </c>
      <c r="L275" s="115"/>
      <c r="M275" s="152">
        <f>4550+10000+3000+5580+1500</f>
        <v>24630</v>
      </c>
      <c r="N275" s="115"/>
      <c r="O275" s="152">
        <f>4550+10000+3000+5580+1500</f>
        <v>24630</v>
      </c>
      <c r="P275" s="114"/>
    </row>
    <row r="276" spans="1:16" ht="71.400000000000006" x14ac:dyDescent="0.25">
      <c r="A276" s="39" t="s">
        <v>63</v>
      </c>
      <c r="B276" s="7" t="s">
        <v>75</v>
      </c>
      <c r="C276" s="105" t="s">
        <v>699</v>
      </c>
      <c r="D276" s="113" t="s">
        <v>701</v>
      </c>
      <c r="E276" s="105" t="s">
        <v>683</v>
      </c>
      <c r="F276" s="123">
        <v>59</v>
      </c>
      <c r="G276" s="123">
        <v>242</v>
      </c>
      <c r="H276" s="53" t="s">
        <v>527</v>
      </c>
      <c r="I276" s="54"/>
      <c r="J276" s="114"/>
      <c r="K276" s="12">
        <v>5300</v>
      </c>
      <c r="L276" s="115"/>
      <c r="M276" s="152">
        <f>O276</f>
        <v>3950</v>
      </c>
      <c r="N276" s="115"/>
      <c r="O276" s="152">
        <f>2450+1500</f>
        <v>3950</v>
      </c>
      <c r="P276" s="114"/>
    </row>
    <row r="277" spans="1:16" ht="61.2" x14ac:dyDescent="0.25">
      <c r="A277" s="39" t="s">
        <v>154</v>
      </c>
      <c r="B277" s="7" t="s">
        <v>76</v>
      </c>
      <c r="C277" s="105" t="s">
        <v>699</v>
      </c>
      <c r="D277" s="113" t="s">
        <v>708</v>
      </c>
      <c r="E277" s="105" t="s">
        <v>692</v>
      </c>
      <c r="F277" s="123">
        <v>59</v>
      </c>
      <c r="G277" s="123">
        <v>244</v>
      </c>
      <c r="H277" s="53" t="s">
        <v>527</v>
      </c>
      <c r="I277" s="54"/>
      <c r="J277" s="114"/>
      <c r="K277" s="12">
        <v>106000</v>
      </c>
      <c r="L277" s="115"/>
      <c r="M277" s="152">
        <f>32624.2+10788</f>
        <v>43412.2</v>
      </c>
      <c r="N277" s="115"/>
      <c r="O277" s="152">
        <f>M277</f>
        <v>43412.2</v>
      </c>
      <c r="P277" s="114"/>
    </row>
    <row r="278" spans="1:16" ht="26.4" x14ac:dyDescent="0.25">
      <c r="A278" s="39" t="s">
        <v>43</v>
      </c>
      <c r="B278" s="7" t="s">
        <v>298</v>
      </c>
      <c r="C278" s="105" t="s">
        <v>699</v>
      </c>
      <c r="D278" s="113" t="s">
        <v>705</v>
      </c>
      <c r="E278" s="123"/>
      <c r="F278" s="123">
        <v>59</v>
      </c>
      <c r="G278" s="123">
        <v>244</v>
      </c>
      <c r="H278" s="53" t="s">
        <v>527</v>
      </c>
      <c r="I278" s="54"/>
      <c r="J278" s="114"/>
      <c r="K278" s="12">
        <v>42400</v>
      </c>
      <c r="L278" s="115"/>
      <c r="M278" s="152"/>
      <c r="N278" s="115"/>
      <c r="O278" s="152"/>
      <c r="P278" s="114"/>
    </row>
    <row r="279" spans="1:16" ht="40.799999999999997" x14ac:dyDescent="0.25">
      <c r="A279" s="39" t="s">
        <v>45</v>
      </c>
      <c r="B279" s="6" t="s">
        <v>485</v>
      </c>
      <c r="C279" s="105" t="s">
        <v>699</v>
      </c>
      <c r="D279" s="113" t="s">
        <v>702</v>
      </c>
      <c r="E279" s="105" t="s">
        <v>602</v>
      </c>
      <c r="F279" s="123">
        <v>59</v>
      </c>
      <c r="G279" s="123"/>
      <c r="H279" s="53" t="s">
        <v>528</v>
      </c>
      <c r="I279" s="54"/>
      <c r="J279" s="114"/>
      <c r="K279" s="12">
        <v>70000</v>
      </c>
      <c r="L279" s="115"/>
      <c r="M279" s="152">
        <f>O279</f>
        <v>18480</v>
      </c>
      <c r="N279" s="115"/>
      <c r="O279" s="152">
        <v>18480</v>
      </c>
      <c r="P279" s="114"/>
    </row>
    <row r="280" spans="1:16" ht="99.9" customHeight="1" x14ac:dyDescent="0.25">
      <c r="A280" s="39" t="s">
        <v>129</v>
      </c>
      <c r="B280" s="6" t="s">
        <v>486</v>
      </c>
      <c r="C280" s="105" t="s">
        <v>699</v>
      </c>
      <c r="D280" s="113" t="s">
        <v>702</v>
      </c>
      <c r="E280" s="105" t="s">
        <v>693</v>
      </c>
      <c r="F280" s="123">
        <v>59</v>
      </c>
      <c r="G280" s="123">
        <v>244</v>
      </c>
      <c r="H280" s="53" t="s">
        <v>529</v>
      </c>
      <c r="I280" s="54"/>
      <c r="J280" s="114"/>
      <c r="K280" s="12">
        <v>177200</v>
      </c>
      <c r="L280" s="115"/>
      <c r="M280" s="152">
        <f>O280</f>
        <v>26401.450000000004</v>
      </c>
      <c r="N280" s="115"/>
      <c r="O280" s="152">
        <f>1917+6004+478.79+4488.9+6750+6762.76</f>
        <v>26401.450000000004</v>
      </c>
      <c r="P280" s="114"/>
    </row>
    <row r="281" spans="1:16" ht="30.6" x14ac:dyDescent="0.25">
      <c r="A281" s="39" t="s">
        <v>155</v>
      </c>
      <c r="B281" s="6" t="s">
        <v>487</v>
      </c>
      <c r="C281" s="105" t="s">
        <v>699</v>
      </c>
      <c r="D281" s="113" t="s">
        <v>700</v>
      </c>
      <c r="E281" s="105" t="s">
        <v>603</v>
      </c>
      <c r="F281" s="123">
        <v>59</v>
      </c>
      <c r="G281" s="123">
        <v>244</v>
      </c>
      <c r="H281" s="53" t="s">
        <v>529</v>
      </c>
      <c r="I281" s="54"/>
      <c r="J281" s="114"/>
      <c r="K281" s="12">
        <v>20000</v>
      </c>
      <c r="L281" s="115"/>
      <c r="M281" s="152">
        <f>O281</f>
        <v>10257</v>
      </c>
      <c r="N281" s="115"/>
      <c r="O281" s="152">
        <v>10257</v>
      </c>
      <c r="P281" s="114"/>
    </row>
    <row r="282" spans="1:16" ht="26.4" x14ac:dyDescent="0.25">
      <c r="A282" s="39" t="s">
        <v>46</v>
      </c>
      <c r="B282" s="6" t="s">
        <v>299</v>
      </c>
      <c r="C282" s="113" t="s">
        <v>710</v>
      </c>
      <c r="D282" s="113" t="s">
        <v>712</v>
      </c>
      <c r="E282" s="123"/>
      <c r="F282" s="123">
        <v>59</v>
      </c>
      <c r="G282" s="123">
        <v>244</v>
      </c>
      <c r="H282" s="53" t="s">
        <v>529</v>
      </c>
      <c r="I282" s="54"/>
      <c r="J282" s="114"/>
      <c r="K282" s="12">
        <v>374165</v>
      </c>
      <c r="L282" s="115"/>
      <c r="M282" s="152"/>
      <c r="N282" s="115"/>
      <c r="O282" s="152"/>
      <c r="P282" s="114"/>
    </row>
    <row r="283" spans="1:16" ht="51.75" customHeight="1" x14ac:dyDescent="0.25">
      <c r="A283" s="39" t="s">
        <v>47</v>
      </c>
      <c r="B283" s="6" t="s">
        <v>488</v>
      </c>
      <c r="C283" s="113" t="s">
        <v>710</v>
      </c>
      <c r="D283" s="113" t="s">
        <v>712</v>
      </c>
      <c r="E283" s="105" t="s">
        <v>669</v>
      </c>
      <c r="F283" s="123">
        <v>59</v>
      </c>
      <c r="G283" s="123">
        <v>244</v>
      </c>
      <c r="H283" s="53" t="s">
        <v>529</v>
      </c>
      <c r="I283" s="54"/>
      <c r="J283" s="114"/>
      <c r="K283" s="12">
        <f>(50000+150000)*1.06</f>
        <v>212000</v>
      </c>
      <c r="L283" s="115"/>
      <c r="M283" s="152">
        <f>945+3121+1890+568</f>
        <v>6524</v>
      </c>
      <c r="N283" s="115"/>
      <c r="O283" s="152">
        <f>M283</f>
        <v>6524</v>
      </c>
      <c r="P283" s="114"/>
    </row>
    <row r="284" spans="1:16" ht="26.4" x14ac:dyDescent="0.25">
      <c r="A284" s="39" t="s">
        <v>48</v>
      </c>
      <c r="B284" s="6" t="s">
        <v>300</v>
      </c>
      <c r="C284" s="105" t="s">
        <v>699</v>
      </c>
      <c r="D284" s="113" t="s">
        <v>702</v>
      </c>
      <c r="E284" s="105" t="s">
        <v>604</v>
      </c>
      <c r="F284" s="123">
        <v>59</v>
      </c>
      <c r="G284" s="123">
        <v>244</v>
      </c>
      <c r="H284" s="53" t="s">
        <v>527</v>
      </c>
      <c r="I284" s="54"/>
      <c r="J284" s="114"/>
      <c r="K284" s="12">
        <v>5000</v>
      </c>
      <c r="L284" s="115"/>
      <c r="M284" s="152">
        <f>O284</f>
        <v>3295</v>
      </c>
      <c r="N284" s="115"/>
      <c r="O284" s="152">
        <v>3295</v>
      </c>
      <c r="P284" s="114"/>
    </row>
    <row r="285" spans="1:16" ht="112.2" x14ac:dyDescent="0.25">
      <c r="A285" s="39" t="s">
        <v>49</v>
      </c>
      <c r="B285" s="6" t="s">
        <v>77</v>
      </c>
      <c r="C285" s="105"/>
      <c r="D285" s="113" t="s">
        <v>702</v>
      </c>
      <c r="E285" s="105" t="s">
        <v>605</v>
      </c>
      <c r="F285" s="123">
        <v>59</v>
      </c>
      <c r="G285" s="123"/>
      <c r="H285" s="53" t="s">
        <v>527</v>
      </c>
      <c r="I285" s="54" t="s">
        <v>520</v>
      </c>
      <c r="J285" s="114"/>
      <c r="K285" s="12">
        <v>431252</v>
      </c>
      <c r="L285" s="115"/>
      <c r="M285" s="152">
        <f>O285</f>
        <v>191285.5</v>
      </c>
      <c r="N285" s="115"/>
      <c r="O285" s="152">
        <v>191285.5</v>
      </c>
      <c r="P285" s="114"/>
    </row>
    <row r="286" spans="1:16" ht="26.4" x14ac:dyDescent="0.25">
      <c r="A286" s="43" t="s">
        <v>52</v>
      </c>
      <c r="B286" s="19" t="s">
        <v>78</v>
      </c>
      <c r="C286" s="105" t="s">
        <v>699</v>
      </c>
      <c r="D286" s="113" t="s">
        <v>713</v>
      </c>
      <c r="E286" s="123"/>
      <c r="F286" s="123">
        <v>59</v>
      </c>
      <c r="G286" s="153"/>
      <c r="H286" s="55" t="s">
        <v>529</v>
      </c>
      <c r="I286" s="21" t="s">
        <v>520</v>
      </c>
      <c r="J286" s="114"/>
      <c r="K286" s="15">
        <v>95743</v>
      </c>
      <c r="L286" s="115"/>
      <c r="M286" s="152"/>
      <c r="N286" s="115"/>
      <c r="O286" s="152"/>
      <c r="P286" s="114"/>
    </row>
    <row r="287" spans="1:16" ht="30.6" x14ac:dyDescent="0.25">
      <c r="A287" s="43" t="s">
        <v>489</v>
      </c>
      <c r="B287" s="19" t="s">
        <v>301</v>
      </c>
      <c r="C287" s="105" t="s">
        <v>699</v>
      </c>
      <c r="D287" s="113" t="s">
        <v>700</v>
      </c>
      <c r="E287" s="105" t="s">
        <v>684</v>
      </c>
      <c r="F287" s="123">
        <v>59</v>
      </c>
      <c r="G287" s="123">
        <v>244</v>
      </c>
      <c r="H287" s="53" t="s">
        <v>524</v>
      </c>
      <c r="I287" s="21"/>
      <c r="J287" s="114"/>
      <c r="K287" s="15">
        <v>250000</v>
      </c>
      <c r="L287" s="115"/>
      <c r="M287" s="152">
        <v>249863.4</v>
      </c>
      <c r="N287" s="115"/>
      <c r="O287" s="152">
        <v>47627.199999999997</v>
      </c>
      <c r="P287" s="114"/>
    </row>
    <row r="288" spans="1:16" ht="26.4" x14ac:dyDescent="0.25">
      <c r="A288" s="50">
        <v>31</v>
      </c>
      <c r="B288" s="19" t="s">
        <v>302</v>
      </c>
      <c r="C288" s="105"/>
      <c r="D288" s="113" t="s">
        <v>702</v>
      </c>
      <c r="E288" s="123"/>
      <c r="F288" s="123">
        <v>59</v>
      </c>
      <c r="G288" s="123"/>
      <c r="H288" s="53" t="s">
        <v>530</v>
      </c>
      <c r="I288" s="20"/>
      <c r="J288" s="114"/>
      <c r="K288" s="12">
        <v>30000</v>
      </c>
      <c r="L288" s="115"/>
      <c r="M288" s="152"/>
      <c r="N288" s="115"/>
      <c r="O288" s="152"/>
      <c r="P288" s="114"/>
    </row>
    <row r="289" spans="1:16" ht="39.6" x14ac:dyDescent="0.25">
      <c r="A289" s="51" t="s">
        <v>136</v>
      </c>
      <c r="B289" s="19" t="s">
        <v>490</v>
      </c>
      <c r="C289" s="105"/>
      <c r="D289" s="113" t="s">
        <v>702</v>
      </c>
      <c r="E289" s="123"/>
      <c r="F289" s="123">
        <v>59</v>
      </c>
      <c r="G289" s="123"/>
      <c r="H289" s="53" t="s">
        <v>531</v>
      </c>
      <c r="I289" s="20"/>
      <c r="J289" s="114"/>
      <c r="K289" s="12">
        <v>10000</v>
      </c>
      <c r="L289" s="115"/>
      <c r="M289" s="152">
        <f>O289</f>
        <v>472.89</v>
      </c>
      <c r="N289" s="115"/>
      <c r="O289" s="152">
        <v>472.89</v>
      </c>
      <c r="P289" s="114"/>
    </row>
    <row r="290" spans="1:16" ht="39.6" x14ac:dyDescent="0.25">
      <c r="A290" s="51" t="s">
        <v>491</v>
      </c>
      <c r="B290" s="19" t="s">
        <v>492</v>
      </c>
      <c r="C290" s="105" t="s">
        <v>699</v>
      </c>
      <c r="D290" s="113" t="s">
        <v>706</v>
      </c>
      <c r="E290" s="123"/>
      <c r="F290" s="123">
        <v>59</v>
      </c>
      <c r="G290" s="123"/>
      <c r="H290" s="53" t="s">
        <v>532</v>
      </c>
      <c r="I290" s="56"/>
      <c r="J290" s="114"/>
      <c r="K290" s="15">
        <v>22000</v>
      </c>
      <c r="L290" s="115"/>
      <c r="M290" s="152"/>
      <c r="N290" s="115"/>
      <c r="O290" s="152"/>
      <c r="P290" s="114"/>
    </row>
    <row r="291" spans="1:16" ht="61.2" x14ac:dyDescent="0.25">
      <c r="A291" s="43" t="s">
        <v>176</v>
      </c>
      <c r="B291" s="19" t="s">
        <v>303</v>
      </c>
      <c r="C291" s="105" t="s">
        <v>699</v>
      </c>
      <c r="D291" s="113" t="s">
        <v>700</v>
      </c>
      <c r="E291" s="105" t="s">
        <v>694</v>
      </c>
      <c r="F291" s="123">
        <v>59</v>
      </c>
      <c r="G291" s="123">
        <v>244</v>
      </c>
      <c r="H291" s="53" t="s">
        <v>527</v>
      </c>
      <c r="I291" s="21"/>
      <c r="J291" s="114"/>
      <c r="K291" s="15">
        <f>66042+180000</f>
        <v>246042</v>
      </c>
      <c r="L291" s="115"/>
      <c r="M291" s="152">
        <f>3051+117898.65+5590</f>
        <v>126539.65</v>
      </c>
      <c r="N291" s="115"/>
      <c r="O291" s="152">
        <f>3051+39299.55</f>
        <v>42350.55</v>
      </c>
      <c r="P291" s="114"/>
    </row>
    <row r="292" spans="1:16" x14ac:dyDescent="0.25">
      <c r="A292" s="43" t="s">
        <v>177</v>
      </c>
      <c r="B292" s="19" t="s">
        <v>493</v>
      </c>
      <c r="C292" s="105"/>
      <c r="D292" s="113" t="s">
        <v>700</v>
      </c>
      <c r="E292" s="123"/>
      <c r="F292" s="123">
        <v>59</v>
      </c>
      <c r="G292" s="153"/>
      <c r="H292" s="48"/>
      <c r="I292" s="21"/>
      <c r="J292" s="114"/>
      <c r="K292" s="16">
        <f>SUM(K293:K294)</f>
        <v>188000</v>
      </c>
      <c r="L292" s="115"/>
      <c r="M292" s="152"/>
      <c r="N292" s="115"/>
      <c r="O292" s="152"/>
      <c r="P292" s="114"/>
    </row>
    <row r="293" spans="1:16" ht="52.8" x14ac:dyDescent="0.25">
      <c r="A293" s="43" t="s">
        <v>55</v>
      </c>
      <c r="B293" s="19" t="s">
        <v>494</v>
      </c>
      <c r="C293" s="105" t="s">
        <v>699</v>
      </c>
      <c r="D293" s="113" t="s">
        <v>714</v>
      </c>
      <c r="E293" s="105" t="s">
        <v>686</v>
      </c>
      <c r="F293" s="123">
        <v>59</v>
      </c>
      <c r="G293" s="123">
        <v>244</v>
      </c>
      <c r="H293" s="48">
        <v>225</v>
      </c>
      <c r="I293" s="21"/>
      <c r="J293" s="114"/>
      <c r="K293" s="15">
        <v>38000</v>
      </c>
      <c r="L293" s="115"/>
      <c r="M293" s="152">
        <f>34000+4000</f>
        <v>38000</v>
      </c>
      <c r="N293" s="115"/>
      <c r="O293" s="152">
        <v>17000</v>
      </c>
      <c r="P293" s="114"/>
    </row>
    <row r="294" spans="1:16" ht="26.4" x14ac:dyDescent="0.25">
      <c r="A294" s="43" t="s">
        <v>275</v>
      </c>
      <c r="B294" s="19" t="s">
        <v>495</v>
      </c>
      <c r="C294" s="105" t="s">
        <v>699</v>
      </c>
      <c r="D294" s="113" t="s">
        <v>715</v>
      </c>
      <c r="E294" s="123"/>
      <c r="F294" s="123">
        <v>59</v>
      </c>
      <c r="G294" s="153">
        <v>244</v>
      </c>
      <c r="H294" s="48">
        <v>226</v>
      </c>
      <c r="I294" s="21"/>
      <c r="J294" s="114"/>
      <c r="K294" s="15">
        <v>150000</v>
      </c>
      <c r="L294" s="115"/>
      <c r="M294" s="152"/>
      <c r="N294" s="115"/>
      <c r="O294" s="152"/>
      <c r="P294" s="114"/>
    </row>
    <row r="295" spans="1:16" ht="52.8" x14ac:dyDescent="0.25">
      <c r="A295" s="43" t="s">
        <v>90</v>
      </c>
      <c r="B295" s="19" t="s">
        <v>698</v>
      </c>
      <c r="C295" s="105"/>
      <c r="D295" s="113"/>
      <c r="E295" s="123"/>
      <c r="F295" s="123">
        <v>59</v>
      </c>
      <c r="G295" s="123">
        <v>244</v>
      </c>
      <c r="H295" s="48">
        <v>225</v>
      </c>
      <c r="I295" s="21"/>
      <c r="J295" s="114"/>
      <c r="K295" s="15">
        <v>0</v>
      </c>
      <c r="L295" s="115"/>
      <c r="M295" s="152"/>
      <c r="N295" s="115"/>
      <c r="O295" s="152"/>
      <c r="P295" s="114"/>
    </row>
    <row r="296" spans="1:16" ht="52.8" x14ac:dyDescent="0.25">
      <c r="A296" s="43" t="s">
        <v>56</v>
      </c>
      <c r="B296" s="19" t="s">
        <v>496</v>
      </c>
      <c r="C296" s="105" t="s">
        <v>699</v>
      </c>
      <c r="D296" s="113" t="s">
        <v>700</v>
      </c>
      <c r="E296" s="105" t="s">
        <v>606</v>
      </c>
      <c r="F296" s="123">
        <v>59</v>
      </c>
      <c r="G296" s="123">
        <v>244</v>
      </c>
      <c r="H296" s="48">
        <v>225</v>
      </c>
      <c r="I296" s="21"/>
      <c r="J296" s="114"/>
      <c r="K296" s="15">
        <v>24000</v>
      </c>
      <c r="L296" s="115"/>
      <c r="M296" s="152">
        <v>23000</v>
      </c>
      <c r="N296" s="115"/>
      <c r="O296" s="152">
        <f>2875+2875+2875+2875+2875</f>
        <v>14375</v>
      </c>
      <c r="P296" s="114"/>
    </row>
    <row r="297" spans="1:16" ht="66" x14ac:dyDescent="0.25">
      <c r="A297" s="43" t="s">
        <v>57</v>
      </c>
      <c r="B297" s="19" t="s">
        <v>497</v>
      </c>
      <c r="C297" s="105" t="s">
        <v>699</v>
      </c>
      <c r="D297" s="113" t="s">
        <v>700</v>
      </c>
      <c r="E297" s="105" t="s">
        <v>607</v>
      </c>
      <c r="F297" s="123">
        <v>59</v>
      </c>
      <c r="G297" s="153">
        <v>244</v>
      </c>
      <c r="H297" s="48">
        <v>223</v>
      </c>
      <c r="I297" s="21"/>
      <c r="J297" s="114"/>
      <c r="K297" s="15">
        <v>150000</v>
      </c>
      <c r="L297" s="115"/>
      <c r="M297" s="152">
        <v>150000</v>
      </c>
      <c r="N297" s="115"/>
      <c r="O297" s="152">
        <v>81985.22</v>
      </c>
      <c r="P297" s="114"/>
    </row>
    <row r="298" spans="1:16" ht="52.8" x14ac:dyDescent="0.25">
      <c r="A298" s="43" t="s">
        <v>58</v>
      </c>
      <c r="B298" s="19" t="s">
        <v>498</v>
      </c>
      <c r="C298" s="105" t="s">
        <v>699</v>
      </c>
      <c r="D298" s="113" t="s">
        <v>700</v>
      </c>
      <c r="E298" s="105" t="s">
        <v>608</v>
      </c>
      <c r="F298" s="123">
        <v>59</v>
      </c>
      <c r="G298" s="153">
        <v>244</v>
      </c>
      <c r="H298" s="48">
        <v>223</v>
      </c>
      <c r="I298" s="21"/>
      <c r="J298" s="114"/>
      <c r="K298" s="15">
        <v>20000</v>
      </c>
      <c r="L298" s="115"/>
      <c r="M298" s="152">
        <v>20000</v>
      </c>
      <c r="N298" s="115"/>
      <c r="O298" s="152">
        <f>1403.88+673.73+1010.59+1010.59+2105.4</f>
        <v>6204.1900000000005</v>
      </c>
      <c r="P298" s="114"/>
    </row>
    <row r="299" spans="1:16" ht="52.8" x14ac:dyDescent="0.25">
      <c r="A299" s="43" t="s">
        <v>59</v>
      </c>
      <c r="B299" s="19" t="s">
        <v>499</v>
      </c>
      <c r="C299" s="105" t="s">
        <v>699</v>
      </c>
      <c r="D299" s="113" t="s">
        <v>700</v>
      </c>
      <c r="E299" s="105" t="s">
        <v>609</v>
      </c>
      <c r="F299" s="123">
        <v>59</v>
      </c>
      <c r="G299" s="153">
        <v>244</v>
      </c>
      <c r="H299" s="48">
        <v>223</v>
      </c>
      <c r="I299" s="21"/>
      <c r="J299" s="114"/>
      <c r="K299" s="15">
        <v>19000</v>
      </c>
      <c r="L299" s="115"/>
      <c r="M299" s="95">
        <v>11181.23</v>
      </c>
      <c r="N299" s="115"/>
      <c r="O299" s="152">
        <f>1230.85+590.69+886.03+886.03+1845.9</f>
        <v>5439.5</v>
      </c>
      <c r="P299" s="114"/>
    </row>
    <row r="300" spans="1:16" ht="52.8" x14ac:dyDescent="0.25">
      <c r="A300" s="43" t="s">
        <v>140</v>
      </c>
      <c r="B300" s="19" t="s">
        <v>500</v>
      </c>
      <c r="C300" s="105" t="s">
        <v>699</v>
      </c>
      <c r="D300" s="113" t="s">
        <v>700</v>
      </c>
      <c r="E300" s="105" t="s">
        <v>687</v>
      </c>
      <c r="F300" s="123">
        <v>59</v>
      </c>
      <c r="G300" s="153">
        <v>244</v>
      </c>
      <c r="H300" s="48">
        <v>223</v>
      </c>
      <c r="I300" s="21"/>
      <c r="J300" s="114"/>
      <c r="K300" s="15">
        <v>500000</v>
      </c>
      <c r="L300" s="115"/>
      <c r="M300" s="152">
        <v>500000</v>
      </c>
      <c r="N300" s="115"/>
      <c r="O300" s="152">
        <v>240035.26</v>
      </c>
      <c r="P300" s="114"/>
    </row>
    <row r="301" spans="1:16" ht="39.6" x14ac:dyDescent="0.25">
      <c r="A301" s="43" t="s">
        <v>60</v>
      </c>
      <c r="B301" s="19" t="s">
        <v>304</v>
      </c>
      <c r="C301" s="105"/>
      <c r="D301" s="113"/>
      <c r="E301" s="123"/>
      <c r="F301" s="123">
        <v>59</v>
      </c>
      <c r="G301" s="123">
        <v>244</v>
      </c>
      <c r="H301" s="48">
        <v>310</v>
      </c>
      <c r="I301" s="21"/>
      <c r="J301" s="114"/>
      <c r="K301" s="15">
        <v>0</v>
      </c>
      <c r="L301" s="115"/>
      <c r="M301" s="152"/>
      <c r="N301" s="115"/>
      <c r="O301" s="152"/>
      <c r="P301" s="114"/>
    </row>
    <row r="302" spans="1:16" ht="52.8" x14ac:dyDescent="0.25">
      <c r="A302" s="43" t="s">
        <v>61</v>
      </c>
      <c r="B302" s="19" t="s">
        <v>305</v>
      </c>
      <c r="C302" s="105" t="s">
        <v>699</v>
      </c>
      <c r="D302" s="113" t="s">
        <v>700</v>
      </c>
      <c r="E302" s="105" t="s">
        <v>610</v>
      </c>
      <c r="F302" s="123">
        <v>59</v>
      </c>
      <c r="G302" s="153">
        <v>244</v>
      </c>
      <c r="H302" s="48">
        <v>223</v>
      </c>
      <c r="I302" s="21"/>
      <c r="J302" s="114"/>
      <c r="K302" s="15">
        <v>3548.47</v>
      </c>
      <c r="L302" s="115"/>
      <c r="M302" s="152">
        <f>K302</f>
        <v>3548.47</v>
      </c>
      <c r="N302" s="115"/>
      <c r="O302" s="152">
        <f>315.82+315.82+315.82+315.82+315.82</f>
        <v>1579.1</v>
      </c>
      <c r="P302" s="114"/>
    </row>
    <row r="303" spans="1:16" ht="52.8" x14ac:dyDescent="0.25">
      <c r="A303" s="43" t="s">
        <v>62</v>
      </c>
      <c r="B303" s="19" t="s">
        <v>306</v>
      </c>
      <c r="C303" s="105" t="s">
        <v>699</v>
      </c>
      <c r="D303" s="113" t="s">
        <v>700</v>
      </c>
      <c r="E303" s="105" t="s">
        <v>611</v>
      </c>
      <c r="F303" s="123">
        <v>59</v>
      </c>
      <c r="G303" s="153">
        <v>244</v>
      </c>
      <c r="H303" s="48">
        <v>223</v>
      </c>
      <c r="I303" s="21"/>
      <c r="J303" s="114"/>
      <c r="K303" s="15">
        <v>3491.78</v>
      </c>
      <c r="L303" s="115"/>
      <c r="M303" s="152">
        <f>K303</f>
        <v>3491.78</v>
      </c>
      <c r="N303" s="115"/>
      <c r="O303" s="152">
        <f>276.89+276.89+(276.89*3)</f>
        <v>1384.4499999999998</v>
      </c>
      <c r="P303" s="114"/>
    </row>
    <row r="304" spans="1:16" ht="52.8" x14ac:dyDescent="0.25">
      <c r="A304" s="43" t="s">
        <v>501</v>
      </c>
      <c r="B304" s="19" t="s">
        <v>307</v>
      </c>
      <c r="C304" s="105" t="s">
        <v>699</v>
      </c>
      <c r="D304" s="113" t="s">
        <v>700</v>
      </c>
      <c r="E304" s="105" t="s">
        <v>687</v>
      </c>
      <c r="F304" s="123">
        <v>59</v>
      </c>
      <c r="G304" s="153">
        <v>244</v>
      </c>
      <c r="H304" s="48">
        <v>223</v>
      </c>
      <c r="I304" s="21"/>
      <c r="J304" s="114"/>
      <c r="K304" s="15">
        <v>31458.36</v>
      </c>
      <c r="L304" s="115"/>
      <c r="M304" s="152">
        <v>31458.36</v>
      </c>
      <c r="N304" s="115"/>
      <c r="O304" s="152"/>
      <c r="P304" s="114"/>
    </row>
    <row r="305" spans="1:16" ht="66" x14ac:dyDescent="0.25">
      <c r="A305" s="43" t="s">
        <v>502</v>
      </c>
      <c r="B305" s="19" t="s">
        <v>503</v>
      </c>
      <c r="C305" s="105" t="s">
        <v>699</v>
      </c>
      <c r="D305" s="113" t="s">
        <v>700</v>
      </c>
      <c r="E305" s="105" t="s">
        <v>607</v>
      </c>
      <c r="F305" s="123">
        <v>59</v>
      </c>
      <c r="G305" s="153">
        <v>244</v>
      </c>
      <c r="H305" s="48">
        <v>223</v>
      </c>
      <c r="I305" s="21"/>
      <c r="J305" s="114"/>
      <c r="K305" s="15">
        <v>50000</v>
      </c>
      <c r="L305" s="115"/>
      <c r="M305" s="152"/>
      <c r="N305" s="115"/>
      <c r="O305" s="152"/>
      <c r="P305" s="114"/>
    </row>
    <row r="306" spans="1:16" ht="52.8" x14ac:dyDescent="0.25">
      <c r="A306" s="43" t="s">
        <v>501</v>
      </c>
      <c r="B306" s="19" t="s">
        <v>504</v>
      </c>
      <c r="C306" s="105" t="s">
        <v>699</v>
      </c>
      <c r="D306" s="113" t="s">
        <v>700</v>
      </c>
      <c r="E306" s="123"/>
      <c r="F306" s="123">
        <v>59</v>
      </c>
      <c r="G306" s="123">
        <v>244</v>
      </c>
      <c r="H306" s="48">
        <v>225</v>
      </c>
      <c r="I306" s="21"/>
      <c r="J306" s="114"/>
      <c r="K306" s="15">
        <v>45000</v>
      </c>
      <c r="L306" s="115"/>
      <c r="M306" s="152"/>
      <c r="N306" s="115"/>
      <c r="O306" s="152"/>
      <c r="P306" s="114"/>
    </row>
    <row r="307" spans="1:16" ht="26.4" x14ac:dyDescent="0.25">
      <c r="A307" s="43" t="s">
        <v>502</v>
      </c>
      <c r="B307" s="19" t="s">
        <v>505</v>
      </c>
      <c r="C307" s="105" t="s">
        <v>699</v>
      </c>
      <c r="D307" s="113" t="s">
        <v>700</v>
      </c>
      <c r="E307" s="123"/>
      <c r="F307" s="123">
        <v>59</v>
      </c>
      <c r="G307" s="123">
        <v>244</v>
      </c>
      <c r="H307" s="48">
        <v>310</v>
      </c>
      <c r="I307" s="21"/>
      <c r="J307" s="114"/>
      <c r="K307" s="15">
        <v>50000</v>
      </c>
      <c r="L307" s="115"/>
      <c r="M307" s="152"/>
      <c r="N307" s="115"/>
      <c r="O307" s="152"/>
      <c r="P307" s="114"/>
    </row>
    <row r="308" spans="1:16" ht="92.4" x14ac:dyDescent="0.25">
      <c r="A308" s="58" t="s">
        <v>506</v>
      </c>
      <c r="B308" s="8" t="s">
        <v>507</v>
      </c>
      <c r="C308" s="105" t="s">
        <v>699</v>
      </c>
      <c r="D308" s="113" t="s">
        <v>711</v>
      </c>
      <c r="E308" s="123"/>
      <c r="F308" s="123">
        <v>59</v>
      </c>
      <c r="G308" s="123">
        <v>244</v>
      </c>
      <c r="H308" s="48">
        <v>225</v>
      </c>
      <c r="I308" s="21"/>
      <c r="J308" s="114"/>
      <c r="K308" s="15">
        <v>20000</v>
      </c>
      <c r="L308" s="115"/>
      <c r="M308" s="152"/>
      <c r="N308" s="115"/>
      <c r="O308" s="152"/>
      <c r="P308" s="114"/>
    </row>
    <row r="309" spans="1:16" ht="66" x14ac:dyDescent="0.25">
      <c r="A309" s="58" t="s">
        <v>508</v>
      </c>
      <c r="B309" s="8" t="s">
        <v>509</v>
      </c>
      <c r="C309" s="105" t="s">
        <v>699</v>
      </c>
      <c r="D309" s="113" t="s">
        <v>703</v>
      </c>
      <c r="E309" s="105" t="s">
        <v>612</v>
      </c>
      <c r="F309" s="123">
        <v>59</v>
      </c>
      <c r="G309" s="123">
        <v>244</v>
      </c>
      <c r="H309" s="48">
        <v>225</v>
      </c>
      <c r="I309" s="21"/>
      <c r="J309" s="114"/>
      <c r="K309" s="15">
        <v>75000</v>
      </c>
      <c r="L309" s="115"/>
      <c r="M309" s="152">
        <v>75000</v>
      </c>
      <c r="N309" s="115"/>
      <c r="O309" s="152">
        <v>75000</v>
      </c>
      <c r="P309" s="114"/>
    </row>
    <row r="310" spans="1:16" ht="39.6" x14ac:dyDescent="0.25">
      <c r="A310" s="4" t="s">
        <v>420</v>
      </c>
      <c r="B310" s="52" t="s">
        <v>510</v>
      </c>
      <c r="C310" s="105" t="s">
        <v>699</v>
      </c>
      <c r="D310" s="113" t="s">
        <v>711</v>
      </c>
      <c r="E310" s="123"/>
      <c r="F310" s="123">
        <v>59</v>
      </c>
      <c r="G310" s="123">
        <v>244</v>
      </c>
      <c r="H310" s="48">
        <v>310</v>
      </c>
      <c r="I310" s="21"/>
      <c r="J310" s="114"/>
      <c r="K310" s="15">
        <v>150000</v>
      </c>
      <c r="L310" s="115"/>
      <c r="M310" s="152"/>
      <c r="N310" s="115"/>
      <c r="O310" s="152"/>
      <c r="P310" s="114"/>
    </row>
    <row r="311" spans="1:16" ht="39.6" x14ac:dyDescent="0.25">
      <c r="A311" s="2" t="s">
        <v>511</v>
      </c>
      <c r="B311" s="52" t="s">
        <v>512</v>
      </c>
      <c r="C311" s="105" t="s">
        <v>699</v>
      </c>
      <c r="D311" s="113" t="s">
        <v>711</v>
      </c>
      <c r="E311" s="123"/>
      <c r="F311" s="123">
        <v>59</v>
      </c>
      <c r="G311" s="123">
        <v>244</v>
      </c>
      <c r="H311" s="48">
        <v>310</v>
      </c>
      <c r="I311" s="21"/>
      <c r="J311" s="114"/>
      <c r="K311" s="15">
        <v>50000</v>
      </c>
      <c r="L311" s="115"/>
      <c r="M311" s="152"/>
      <c r="N311" s="115"/>
      <c r="O311" s="152"/>
      <c r="P311" s="114"/>
    </row>
    <row r="312" spans="1:16" x14ac:dyDescent="0.25">
      <c r="A312" s="2" t="s">
        <v>430</v>
      </c>
      <c r="B312" s="52" t="s">
        <v>513</v>
      </c>
      <c r="C312" s="105" t="s">
        <v>699</v>
      </c>
      <c r="D312" s="113" t="s">
        <v>712</v>
      </c>
      <c r="E312" s="123"/>
      <c r="F312" s="123">
        <v>59</v>
      </c>
      <c r="G312" s="153">
        <v>244</v>
      </c>
      <c r="H312" s="48">
        <v>345</v>
      </c>
      <c r="I312" s="21"/>
      <c r="J312" s="114"/>
      <c r="K312" s="15">
        <v>25000</v>
      </c>
      <c r="L312" s="115"/>
      <c r="M312" s="152"/>
      <c r="N312" s="115"/>
      <c r="O312" s="152"/>
      <c r="P312" s="114"/>
    </row>
    <row r="313" spans="1:16" ht="26.4" x14ac:dyDescent="0.25">
      <c r="A313" s="25" t="s">
        <v>514</v>
      </c>
      <c r="B313" s="52" t="s">
        <v>515</v>
      </c>
      <c r="C313" s="105" t="s">
        <v>699</v>
      </c>
      <c r="D313" s="113" t="s">
        <v>710</v>
      </c>
      <c r="E313" s="123"/>
      <c r="F313" s="123">
        <v>59</v>
      </c>
      <c r="G313" s="123">
        <v>244</v>
      </c>
      <c r="H313" s="48">
        <v>310</v>
      </c>
      <c r="I313" s="21"/>
      <c r="J313" s="114"/>
      <c r="K313" s="15">
        <v>120000</v>
      </c>
      <c r="L313" s="115"/>
      <c r="M313" s="152"/>
      <c r="N313" s="115"/>
      <c r="O313" s="152"/>
      <c r="P313" s="114"/>
    </row>
    <row r="314" spans="1:16" ht="39.6" x14ac:dyDescent="0.25">
      <c r="A314" s="25" t="s">
        <v>144</v>
      </c>
      <c r="B314" s="52" t="s">
        <v>689</v>
      </c>
      <c r="C314" s="105" t="s">
        <v>699</v>
      </c>
      <c r="D314" s="113" t="s">
        <v>701</v>
      </c>
      <c r="E314" s="105" t="s">
        <v>688</v>
      </c>
      <c r="F314" s="123">
        <v>59</v>
      </c>
      <c r="G314" s="123">
        <v>244</v>
      </c>
      <c r="H314" s="48">
        <v>310</v>
      </c>
      <c r="I314" s="21"/>
      <c r="J314" s="114"/>
      <c r="K314" s="15">
        <v>16235</v>
      </c>
      <c r="L314" s="115"/>
      <c r="M314" s="152">
        <v>9185</v>
      </c>
      <c r="N314" s="115"/>
      <c r="O314" s="152">
        <v>9185</v>
      </c>
      <c r="P314" s="114"/>
    </row>
    <row r="315" spans="1:16" ht="30.6" x14ac:dyDescent="0.25">
      <c r="A315" s="25" t="s">
        <v>516</v>
      </c>
      <c r="B315" s="52" t="s">
        <v>517</v>
      </c>
      <c r="C315" s="105" t="s">
        <v>699</v>
      </c>
      <c r="D315" s="113" t="s">
        <v>701</v>
      </c>
      <c r="E315" s="105" t="s">
        <v>688</v>
      </c>
      <c r="F315" s="123">
        <v>59</v>
      </c>
      <c r="G315" s="123">
        <v>244</v>
      </c>
      <c r="H315" s="44">
        <v>225</v>
      </c>
      <c r="I315" s="54"/>
      <c r="J315" s="114"/>
      <c r="K315" s="15">
        <v>4000</v>
      </c>
      <c r="L315" s="115"/>
      <c r="M315" s="152">
        <v>3925</v>
      </c>
      <c r="N315" s="115"/>
      <c r="O315" s="152">
        <v>3925</v>
      </c>
      <c r="P315" s="114"/>
    </row>
    <row r="316" spans="1:16" ht="53.4" thickBot="1" x14ac:dyDescent="0.3">
      <c r="A316" s="25" t="s">
        <v>690</v>
      </c>
      <c r="B316" s="52" t="s">
        <v>691</v>
      </c>
      <c r="C316" s="154" t="s">
        <v>699</v>
      </c>
      <c r="D316" s="155" t="s">
        <v>701</v>
      </c>
      <c r="E316" s="105" t="s">
        <v>688</v>
      </c>
      <c r="F316" s="123">
        <v>59</v>
      </c>
      <c r="G316" s="123">
        <v>244</v>
      </c>
      <c r="H316" s="156">
        <v>346</v>
      </c>
      <c r="I316" s="90"/>
      <c r="J316" s="157"/>
      <c r="K316" s="15">
        <v>10000</v>
      </c>
      <c r="L316" s="158"/>
      <c r="M316" s="183">
        <v>6000</v>
      </c>
      <c r="N316" s="158"/>
      <c r="O316" s="183">
        <v>6000</v>
      </c>
      <c r="P316" s="157"/>
    </row>
    <row r="317" spans="1:16" ht="13.8" thickBot="1" x14ac:dyDescent="0.3">
      <c r="A317" s="32"/>
      <c r="B317" s="33" t="s">
        <v>338</v>
      </c>
      <c r="C317" s="146"/>
      <c r="D317" s="147"/>
      <c r="E317" s="148"/>
      <c r="F317" s="148"/>
      <c r="G317" s="148"/>
      <c r="H317" s="148"/>
      <c r="I317" s="148"/>
      <c r="J317" s="149"/>
      <c r="K317" s="184">
        <f>SUM(K253:K316)-K292</f>
        <v>28850607.099999998</v>
      </c>
      <c r="L317" s="150"/>
      <c r="M317" s="173">
        <f>SUM(M253:M315)</f>
        <v>14182388.120000001</v>
      </c>
      <c r="N317" s="150"/>
      <c r="O317" s="173">
        <f>SUM(O253:O316)</f>
        <v>10437271.029999999</v>
      </c>
      <c r="P317" s="149"/>
    </row>
    <row r="318" spans="1:16" ht="26.4" x14ac:dyDescent="0.25">
      <c r="A318" s="57" t="s">
        <v>308</v>
      </c>
      <c r="B318" s="17" t="s">
        <v>198</v>
      </c>
      <c r="C318" s="138"/>
      <c r="D318" s="139"/>
      <c r="E318" s="151"/>
      <c r="F318" s="151">
        <v>59</v>
      </c>
      <c r="G318" s="151"/>
      <c r="H318" s="151"/>
      <c r="I318" s="151"/>
      <c r="J318" s="140"/>
      <c r="K318" s="159"/>
      <c r="L318" s="142"/>
      <c r="M318" s="159"/>
      <c r="N318" s="142"/>
      <c r="O318" s="159"/>
      <c r="P318" s="140"/>
    </row>
    <row r="319" spans="1:16" ht="52.8" x14ac:dyDescent="0.25">
      <c r="A319" s="40" t="s">
        <v>156</v>
      </c>
      <c r="B319" s="6" t="s">
        <v>309</v>
      </c>
      <c r="C319" s="10"/>
      <c r="D319" s="160"/>
      <c r="E319" s="161"/>
      <c r="F319" s="151">
        <v>59</v>
      </c>
      <c r="G319" s="44">
        <v>111</v>
      </c>
      <c r="H319" s="53" t="s">
        <v>518</v>
      </c>
      <c r="I319" s="123"/>
      <c r="J319" s="114"/>
      <c r="K319" s="12">
        <v>4912518.62</v>
      </c>
      <c r="L319" s="115"/>
      <c r="M319" s="152">
        <f>O319</f>
        <v>2013100.57</v>
      </c>
      <c r="N319" s="115"/>
      <c r="O319" s="152">
        <v>2013100.57</v>
      </c>
      <c r="P319" s="114"/>
    </row>
    <row r="320" spans="1:16" ht="40.200000000000003" thickBot="1" x14ac:dyDescent="0.3">
      <c r="A320" s="76" t="s">
        <v>83</v>
      </c>
      <c r="B320" s="77" t="s">
        <v>310</v>
      </c>
      <c r="C320" s="129"/>
      <c r="D320" s="144"/>
      <c r="E320" s="145"/>
      <c r="F320" s="145">
        <v>59</v>
      </c>
      <c r="G320" s="79">
        <v>119</v>
      </c>
      <c r="H320" s="71" t="s">
        <v>521</v>
      </c>
      <c r="I320" s="145"/>
      <c r="J320" s="131"/>
      <c r="K320" s="83">
        <v>1483581.38</v>
      </c>
      <c r="L320" s="132"/>
      <c r="M320" s="172">
        <f>O320</f>
        <v>606680.91</v>
      </c>
      <c r="N320" s="132"/>
      <c r="O320" s="172">
        <v>606680.91</v>
      </c>
      <c r="P320" s="131"/>
    </row>
    <row r="321" spans="1:16" ht="13.8" thickBot="1" x14ac:dyDescent="0.3">
      <c r="A321" s="78"/>
      <c r="B321" s="31" t="s">
        <v>8</v>
      </c>
      <c r="C321" s="146"/>
      <c r="D321" s="147"/>
      <c r="E321" s="148"/>
      <c r="F321" s="148"/>
      <c r="G321" s="148"/>
      <c r="H321" s="148"/>
      <c r="I321" s="148"/>
      <c r="J321" s="149"/>
      <c r="K321" s="36">
        <v>6396100</v>
      </c>
      <c r="L321" s="150"/>
      <c r="M321" s="173">
        <f>SUM(M319:M320)</f>
        <v>2619781.48</v>
      </c>
      <c r="N321" s="150"/>
      <c r="O321" s="173">
        <f>SUM(O319:O320)</f>
        <v>2619781.48</v>
      </c>
      <c r="P321" s="149"/>
    </row>
    <row r="322" spans="1:16" ht="26.4" x14ac:dyDescent="0.25">
      <c r="A322" s="57" t="s">
        <v>311</v>
      </c>
      <c r="B322" s="17" t="s">
        <v>312</v>
      </c>
      <c r="C322" s="138"/>
      <c r="D322" s="139"/>
      <c r="E322" s="151"/>
      <c r="F322" s="151"/>
      <c r="G322" s="151"/>
      <c r="H322" s="151"/>
      <c r="I322" s="151"/>
      <c r="J322" s="140"/>
      <c r="K322" s="82"/>
      <c r="L322" s="142"/>
      <c r="M322" s="159"/>
      <c r="N322" s="142"/>
      <c r="O322" s="159"/>
      <c r="P322" s="140"/>
    </row>
    <row r="323" spans="1:16" ht="52.8" x14ac:dyDescent="0.25">
      <c r="A323" s="58" t="s">
        <v>11</v>
      </c>
      <c r="B323" s="19" t="s">
        <v>313</v>
      </c>
      <c r="C323" s="105"/>
      <c r="D323" s="113"/>
      <c r="E323" s="123"/>
      <c r="F323" s="123">
        <v>59</v>
      </c>
      <c r="G323" s="48">
        <v>111</v>
      </c>
      <c r="H323" s="55" t="s">
        <v>518</v>
      </c>
      <c r="I323" s="123"/>
      <c r="J323" s="12">
        <v>4912518.62</v>
      </c>
      <c r="K323" s="12"/>
      <c r="L323" s="12">
        <f>N323</f>
        <v>1302092.71</v>
      </c>
      <c r="M323" s="152"/>
      <c r="N323" s="12">
        <v>1302092.71</v>
      </c>
      <c r="O323" s="152"/>
      <c r="P323" s="114"/>
    </row>
    <row r="324" spans="1:16" ht="40.200000000000003" thickBot="1" x14ac:dyDescent="0.3">
      <c r="A324" s="76" t="s">
        <v>159</v>
      </c>
      <c r="B324" s="77" t="s">
        <v>314</v>
      </c>
      <c r="C324" s="129"/>
      <c r="D324" s="144"/>
      <c r="E324" s="145"/>
      <c r="F324" s="145">
        <v>59</v>
      </c>
      <c r="G324" s="79">
        <v>119</v>
      </c>
      <c r="H324" s="71" t="s">
        <v>521</v>
      </c>
      <c r="I324" s="145"/>
      <c r="J324" s="83">
        <v>1483581.38</v>
      </c>
      <c r="K324" s="83"/>
      <c r="L324" s="12">
        <f>N324</f>
        <v>393194.25</v>
      </c>
      <c r="M324" s="172"/>
      <c r="N324" s="12">
        <v>393194.25</v>
      </c>
      <c r="O324" s="172"/>
      <c r="P324" s="131"/>
    </row>
    <row r="325" spans="1:16" ht="13.8" thickBot="1" x14ac:dyDescent="0.3">
      <c r="A325" s="78"/>
      <c r="B325" s="31" t="s">
        <v>8</v>
      </c>
      <c r="C325" s="146"/>
      <c r="D325" s="147"/>
      <c r="E325" s="148"/>
      <c r="F325" s="148"/>
      <c r="G325" s="148"/>
      <c r="H325" s="148"/>
      <c r="I325" s="148"/>
      <c r="J325" s="185">
        <f>SUM(J323:J324)</f>
        <v>6396100</v>
      </c>
      <c r="K325" s="36"/>
      <c r="L325" s="185">
        <f>SUM(L323:L324)</f>
        <v>1695286.96</v>
      </c>
      <c r="M325" s="173"/>
      <c r="N325" s="185">
        <f>SUM(N323:N324)</f>
        <v>1695286.96</v>
      </c>
      <c r="O325" s="173"/>
      <c r="P325" s="149"/>
    </row>
    <row r="326" spans="1:16" ht="39.6" x14ac:dyDescent="0.25">
      <c r="A326" s="60" t="s">
        <v>315</v>
      </c>
      <c r="B326" s="5" t="s">
        <v>316</v>
      </c>
      <c r="C326" s="138"/>
      <c r="D326" s="139"/>
      <c r="E326" s="151"/>
      <c r="F326" s="151"/>
      <c r="G326" s="151"/>
      <c r="H326" s="151"/>
      <c r="I326" s="151"/>
      <c r="J326" s="140"/>
      <c r="K326" s="82"/>
      <c r="L326" s="142"/>
      <c r="M326" s="159"/>
      <c r="N326" s="142"/>
      <c r="O326" s="159"/>
      <c r="P326" s="140"/>
    </row>
    <row r="327" spans="1:16" ht="26.4" x14ac:dyDescent="0.25">
      <c r="A327" s="40">
        <v>1</v>
      </c>
      <c r="B327" s="5" t="s">
        <v>79</v>
      </c>
      <c r="C327" s="105"/>
      <c r="D327" s="113"/>
      <c r="E327" s="105"/>
      <c r="F327" s="123">
        <v>60</v>
      </c>
      <c r="G327" s="105"/>
      <c r="H327" s="123"/>
      <c r="I327" s="123"/>
      <c r="J327" s="11"/>
      <c r="K327" s="11">
        <f>SUM(K328:K333)</f>
        <v>67277</v>
      </c>
      <c r="L327" s="115"/>
      <c r="M327" s="152"/>
      <c r="N327" s="115"/>
      <c r="O327" s="152"/>
      <c r="P327" s="114"/>
    </row>
    <row r="328" spans="1:16" x14ac:dyDescent="0.25">
      <c r="A328" s="39" t="s">
        <v>156</v>
      </c>
      <c r="B328" s="6" t="s">
        <v>66</v>
      </c>
      <c r="C328" s="105" t="s">
        <v>699</v>
      </c>
      <c r="D328" s="113" t="s">
        <v>700</v>
      </c>
      <c r="E328" s="105"/>
      <c r="F328" s="123">
        <v>60</v>
      </c>
      <c r="G328" s="44">
        <v>244</v>
      </c>
      <c r="H328" s="44">
        <v>349</v>
      </c>
      <c r="I328" s="123"/>
      <c r="J328" s="12"/>
      <c r="K328" s="12">
        <f>(42*700)*1.06</f>
        <v>31164</v>
      </c>
      <c r="L328" s="115"/>
      <c r="M328" s="152"/>
      <c r="N328" s="115"/>
      <c r="O328" s="152"/>
      <c r="P328" s="114"/>
    </row>
    <row r="329" spans="1:16" ht="30.6" x14ac:dyDescent="0.25">
      <c r="A329" s="39" t="s">
        <v>11</v>
      </c>
      <c r="B329" s="6" t="s">
        <v>65</v>
      </c>
      <c r="C329" s="105" t="s">
        <v>699</v>
      </c>
      <c r="D329" s="113" t="s">
        <v>700</v>
      </c>
      <c r="E329" s="105" t="s">
        <v>618</v>
      </c>
      <c r="F329" s="123">
        <v>60</v>
      </c>
      <c r="G329" s="44">
        <v>244</v>
      </c>
      <c r="H329" s="44">
        <v>342</v>
      </c>
      <c r="I329" s="123"/>
      <c r="J329" s="12"/>
      <c r="K329" s="12">
        <v>3180</v>
      </c>
      <c r="L329" s="115"/>
      <c r="M329" s="152">
        <f>(32.85+18)*36+(31.5*40)</f>
        <v>3090.6000000000004</v>
      </c>
      <c r="N329" s="115"/>
      <c r="O329" s="152">
        <f>M329</f>
        <v>3090.6000000000004</v>
      </c>
      <c r="P329" s="114"/>
    </row>
    <row r="330" spans="1:16" ht="26.4" x14ac:dyDescent="0.25">
      <c r="A330" s="39" t="s">
        <v>13</v>
      </c>
      <c r="B330" s="6" t="s">
        <v>211</v>
      </c>
      <c r="C330" s="105" t="s">
        <v>699</v>
      </c>
      <c r="D330" s="113" t="s">
        <v>700</v>
      </c>
      <c r="E330" s="105"/>
      <c r="F330" s="123">
        <v>60</v>
      </c>
      <c r="G330" s="44">
        <v>244</v>
      </c>
      <c r="H330" s="44">
        <v>349</v>
      </c>
      <c r="I330" s="123"/>
      <c r="J330" s="12"/>
      <c r="K330" s="12">
        <f>INT((33*125)*1.06)</f>
        <v>4372</v>
      </c>
      <c r="L330" s="115"/>
      <c r="M330" s="152"/>
      <c r="N330" s="115"/>
      <c r="O330" s="152"/>
      <c r="P330" s="114"/>
    </row>
    <row r="331" spans="1:16" ht="26.4" x14ac:dyDescent="0.25">
      <c r="A331" s="39" t="s">
        <v>15</v>
      </c>
      <c r="B331" s="6" t="s">
        <v>211</v>
      </c>
      <c r="C331" s="105" t="s">
        <v>699</v>
      </c>
      <c r="D331" s="113" t="s">
        <v>700</v>
      </c>
      <c r="E331" s="105"/>
      <c r="F331" s="123">
        <v>60</v>
      </c>
      <c r="G331" s="44">
        <v>244</v>
      </c>
      <c r="H331" s="44">
        <v>349</v>
      </c>
      <c r="I331" s="123"/>
      <c r="J331" s="12"/>
      <c r="K331" s="12">
        <v>1971</v>
      </c>
      <c r="L331" s="115"/>
      <c r="M331" s="152"/>
      <c r="N331" s="115"/>
      <c r="O331" s="152"/>
      <c r="P331" s="114"/>
    </row>
    <row r="332" spans="1:16" ht="40.799999999999997" x14ac:dyDescent="0.25">
      <c r="A332" s="39" t="s">
        <v>157</v>
      </c>
      <c r="B332" s="6" t="s">
        <v>40</v>
      </c>
      <c r="C332" s="105" t="s">
        <v>699</v>
      </c>
      <c r="D332" s="113" t="s">
        <v>700</v>
      </c>
      <c r="E332" s="105" t="s">
        <v>587</v>
      </c>
      <c r="F332" s="123">
        <v>60</v>
      </c>
      <c r="G332" s="44">
        <v>244</v>
      </c>
      <c r="H332" s="44">
        <v>226</v>
      </c>
      <c r="I332" s="123"/>
      <c r="J332" s="12"/>
      <c r="K332" s="12">
        <v>1590</v>
      </c>
      <c r="L332" s="115"/>
      <c r="M332" s="152">
        <v>1320</v>
      </c>
      <c r="N332" s="115"/>
      <c r="O332" s="152">
        <v>1320</v>
      </c>
      <c r="P332" s="114"/>
    </row>
    <row r="333" spans="1:16" ht="30.6" x14ac:dyDescent="0.25">
      <c r="A333" s="39" t="s">
        <v>158</v>
      </c>
      <c r="B333" s="6" t="s">
        <v>25</v>
      </c>
      <c r="C333" s="105" t="s">
        <v>699</v>
      </c>
      <c r="D333" s="113" t="s">
        <v>700</v>
      </c>
      <c r="E333" s="105" t="s">
        <v>590</v>
      </c>
      <c r="F333" s="123">
        <v>60</v>
      </c>
      <c r="G333" s="44">
        <v>244</v>
      </c>
      <c r="H333" s="44">
        <v>226</v>
      </c>
      <c r="I333" s="123"/>
      <c r="J333" s="12"/>
      <c r="K333" s="12">
        <v>25000</v>
      </c>
      <c r="L333" s="115"/>
      <c r="M333" s="152">
        <v>2650</v>
      </c>
      <c r="N333" s="115"/>
      <c r="O333" s="152">
        <v>2650</v>
      </c>
      <c r="P333" s="114"/>
    </row>
    <row r="334" spans="1:16" ht="26.4" x14ac:dyDescent="0.25">
      <c r="A334" s="40">
        <v>2</v>
      </c>
      <c r="B334" s="5" t="s">
        <v>80</v>
      </c>
      <c r="C334" s="105"/>
      <c r="D334" s="113"/>
      <c r="E334" s="123"/>
      <c r="F334" s="123">
        <v>60</v>
      </c>
      <c r="G334" s="28"/>
      <c r="H334" s="28"/>
      <c r="I334" s="123"/>
      <c r="J334" s="11"/>
      <c r="K334" s="11">
        <f>K335</f>
        <v>26500</v>
      </c>
      <c r="L334" s="115"/>
      <c r="M334" s="152"/>
      <c r="N334" s="115"/>
      <c r="O334" s="152"/>
      <c r="P334" s="114"/>
    </row>
    <row r="335" spans="1:16" ht="51" x14ac:dyDescent="0.25">
      <c r="A335" s="42" t="s">
        <v>18</v>
      </c>
      <c r="B335" s="6" t="s">
        <v>21</v>
      </c>
      <c r="C335" s="105" t="s">
        <v>699</v>
      </c>
      <c r="D335" s="113" t="s">
        <v>700</v>
      </c>
      <c r="E335" s="105" t="s">
        <v>635</v>
      </c>
      <c r="F335" s="123">
        <v>60</v>
      </c>
      <c r="G335" s="44">
        <v>244</v>
      </c>
      <c r="H335" s="44">
        <v>226</v>
      </c>
      <c r="I335" s="123"/>
      <c r="J335" s="12"/>
      <c r="K335" s="12">
        <v>26500</v>
      </c>
      <c r="L335" s="115"/>
      <c r="M335" s="152">
        <v>25000</v>
      </c>
      <c r="N335" s="115"/>
      <c r="O335" s="152">
        <f>M335</f>
        <v>25000</v>
      </c>
      <c r="P335" s="114"/>
    </row>
    <row r="336" spans="1:16" ht="26.4" x14ac:dyDescent="0.25">
      <c r="A336" s="40">
        <v>3</v>
      </c>
      <c r="B336" s="5" t="s">
        <v>81</v>
      </c>
      <c r="C336" s="105"/>
      <c r="D336" s="113"/>
      <c r="E336" s="123"/>
      <c r="F336" s="123">
        <v>60</v>
      </c>
      <c r="G336" s="28"/>
      <c r="H336" s="28"/>
      <c r="I336" s="123"/>
      <c r="J336" s="11"/>
      <c r="K336" s="11">
        <f>SUM(K337:K342)</f>
        <v>67277</v>
      </c>
      <c r="L336" s="115"/>
      <c r="M336" s="152"/>
      <c r="N336" s="115"/>
      <c r="O336" s="152"/>
      <c r="P336" s="114"/>
    </row>
    <row r="337" spans="1:16" ht="30.6" x14ac:dyDescent="0.25">
      <c r="A337" s="39" t="s">
        <v>83</v>
      </c>
      <c r="B337" s="6" t="s">
        <v>66</v>
      </c>
      <c r="C337" s="105" t="s">
        <v>699</v>
      </c>
      <c r="D337" s="113" t="s">
        <v>700</v>
      </c>
      <c r="E337" s="105" t="s">
        <v>592</v>
      </c>
      <c r="F337" s="123">
        <v>60</v>
      </c>
      <c r="G337" s="44">
        <v>244</v>
      </c>
      <c r="H337" s="44">
        <v>349</v>
      </c>
      <c r="I337" s="123"/>
      <c r="J337" s="12"/>
      <c r="K337" s="12">
        <f>(42*700)*1.06</f>
        <v>31164</v>
      </c>
      <c r="L337" s="115"/>
      <c r="M337" s="152">
        <v>31000</v>
      </c>
      <c r="N337" s="115"/>
      <c r="O337" s="152">
        <v>31000</v>
      </c>
      <c r="P337" s="114"/>
    </row>
    <row r="338" spans="1:16" ht="40.799999999999997" x14ac:dyDescent="0.25">
      <c r="A338" s="39" t="s">
        <v>159</v>
      </c>
      <c r="B338" s="6" t="s">
        <v>65</v>
      </c>
      <c r="C338" s="105" t="s">
        <v>699</v>
      </c>
      <c r="D338" s="113" t="s">
        <v>700</v>
      </c>
      <c r="E338" s="105" t="s">
        <v>619</v>
      </c>
      <c r="F338" s="123">
        <v>60</v>
      </c>
      <c r="G338" s="44">
        <v>244</v>
      </c>
      <c r="H338" s="44">
        <v>342</v>
      </c>
      <c r="I338" s="123"/>
      <c r="J338" s="12"/>
      <c r="K338" s="12">
        <v>3180</v>
      </c>
      <c r="L338" s="115"/>
      <c r="M338" s="152">
        <f>1568+663.3</f>
        <v>2231.3000000000002</v>
      </c>
      <c r="N338" s="115"/>
      <c r="O338" s="152">
        <f>M338</f>
        <v>2231.3000000000002</v>
      </c>
      <c r="P338" s="114"/>
    </row>
    <row r="339" spans="1:16" ht="26.4" x14ac:dyDescent="0.25">
      <c r="A339" s="39" t="s">
        <v>160</v>
      </c>
      <c r="B339" s="6" t="s">
        <v>211</v>
      </c>
      <c r="C339" s="105" t="s">
        <v>699</v>
      </c>
      <c r="D339" s="113" t="s">
        <v>700</v>
      </c>
      <c r="E339" s="105"/>
      <c r="F339" s="123">
        <v>60</v>
      </c>
      <c r="G339" s="44">
        <v>244</v>
      </c>
      <c r="H339" s="44">
        <v>349</v>
      </c>
      <c r="I339" s="123"/>
      <c r="J339" s="12"/>
      <c r="K339" s="12">
        <f>INT((33*125)*1.06)</f>
        <v>4372</v>
      </c>
      <c r="L339" s="115"/>
      <c r="M339" s="152"/>
      <c r="N339" s="115"/>
      <c r="O339" s="152"/>
      <c r="P339" s="114"/>
    </row>
    <row r="340" spans="1:16" ht="26.4" x14ac:dyDescent="0.25">
      <c r="A340" s="39" t="s">
        <v>161</v>
      </c>
      <c r="B340" s="6" t="s">
        <v>211</v>
      </c>
      <c r="C340" s="105" t="s">
        <v>699</v>
      </c>
      <c r="D340" s="113" t="s">
        <v>700</v>
      </c>
      <c r="E340" s="123"/>
      <c r="F340" s="123">
        <v>60</v>
      </c>
      <c r="G340" s="44">
        <v>244</v>
      </c>
      <c r="H340" s="44">
        <v>349</v>
      </c>
      <c r="I340" s="123"/>
      <c r="J340" s="12"/>
      <c r="K340" s="12">
        <f>INT(((42+20)*30)*1.06)</f>
        <v>1971</v>
      </c>
      <c r="L340" s="115"/>
      <c r="M340" s="152"/>
      <c r="N340" s="115"/>
      <c r="O340" s="152"/>
      <c r="P340" s="114"/>
    </row>
    <row r="341" spans="1:16" ht="40.799999999999997" x14ac:dyDescent="0.25">
      <c r="A341" s="39" t="s">
        <v>162</v>
      </c>
      <c r="B341" s="6" t="s">
        <v>40</v>
      </c>
      <c r="C341" s="105" t="s">
        <v>699</v>
      </c>
      <c r="D341" s="113" t="s">
        <v>700</v>
      </c>
      <c r="E341" s="105" t="s">
        <v>587</v>
      </c>
      <c r="F341" s="123">
        <v>60</v>
      </c>
      <c r="G341" s="44">
        <v>244</v>
      </c>
      <c r="H341" s="44">
        <v>226</v>
      </c>
      <c r="I341" s="123"/>
      <c r="J341" s="12"/>
      <c r="K341" s="12">
        <v>1590</v>
      </c>
      <c r="L341" s="115"/>
      <c r="M341" s="152">
        <v>1320</v>
      </c>
      <c r="N341" s="115"/>
      <c r="O341" s="152">
        <v>1320</v>
      </c>
      <c r="P341" s="114"/>
    </row>
    <row r="342" spans="1:16" ht="30.6" x14ac:dyDescent="0.25">
      <c r="A342" s="39" t="s">
        <v>163</v>
      </c>
      <c r="B342" s="6" t="s">
        <v>25</v>
      </c>
      <c r="C342" s="105" t="s">
        <v>699</v>
      </c>
      <c r="D342" s="113" t="s">
        <v>700</v>
      </c>
      <c r="E342" s="105" t="s">
        <v>590</v>
      </c>
      <c r="F342" s="123">
        <v>60</v>
      </c>
      <c r="G342" s="44">
        <v>244</v>
      </c>
      <c r="H342" s="44">
        <v>226</v>
      </c>
      <c r="I342" s="123"/>
      <c r="J342" s="12"/>
      <c r="K342" s="12">
        <v>25000</v>
      </c>
      <c r="L342" s="115"/>
      <c r="M342" s="152">
        <v>2650</v>
      </c>
      <c r="N342" s="115"/>
      <c r="O342" s="152">
        <v>2650</v>
      </c>
      <c r="P342" s="114"/>
    </row>
    <row r="343" spans="1:16" ht="26.4" x14ac:dyDescent="0.25">
      <c r="A343" s="40" t="s">
        <v>1</v>
      </c>
      <c r="B343" s="5" t="s">
        <v>82</v>
      </c>
      <c r="C343" s="105"/>
      <c r="D343" s="113"/>
      <c r="E343" s="105"/>
      <c r="F343" s="123">
        <v>60</v>
      </c>
      <c r="G343" s="28"/>
      <c r="H343" s="28"/>
      <c r="I343" s="123"/>
      <c r="J343" s="11"/>
      <c r="K343" s="11">
        <f>K344+K345</f>
        <v>985</v>
      </c>
      <c r="L343" s="115"/>
      <c r="M343" s="152"/>
      <c r="N343" s="115"/>
      <c r="O343" s="152"/>
      <c r="P343" s="114"/>
    </row>
    <row r="344" spans="1:16" ht="26.4" x14ac:dyDescent="0.25">
      <c r="A344" s="39" t="s">
        <v>85</v>
      </c>
      <c r="B344" s="6" t="s">
        <v>211</v>
      </c>
      <c r="C344" s="105" t="s">
        <v>699</v>
      </c>
      <c r="D344" s="113" t="s">
        <v>700</v>
      </c>
      <c r="E344" s="123"/>
      <c r="F344" s="123">
        <v>60</v>
      </c>
      <c r="G344" s="44">
        <v>244</v>
      </c>
      <c r="H344" s="44">
        <v>349</v>
      </c>
      <c r="I344" s="123"/>
      <c r="J344" s="12"/>
      <c r="K344" s="12">
        <f>INT((6*30)*1.06)</f>
        <v>190</v>
      </c>
      <c r="L344" s="115"/>
      <c r="M344" s="152"/>
      <c r="N344" s="115"/>
      <c r="O344" s="152"/>
      <c r="P344" s="114"/>
    </row>
    <row r="345" spans="1:16" ht="26.4" x14ac:dyDescent="0.25">
      <c r="A345" s="39" t="s">
        <v>164</v>
      </c>
      <c r="B345" s="6" t="s">
        <v>211</v>
      </c>
      <c r="C345" s="105" t="s">
        <v>699</v>
      </c>
      <c r="D345" s="113" t="s">
        <v>700</v>
      </c>
      <c r="E345" s="123"/>
      <c r="F345" s="123">
        <v>60</v>
      </c>
      <c r="G345" s="44">
        <v>244</v>
      </c>
      <c r="H345" s="44">
        <v>349</v>
      </c>
      <c r="I345" s="123"/>
      <c r="J345" s="12"/>
      <c r="K345" s="12">
        <v>795</v>
      </c>
      <c r="L345" s="115"/>
      <c r="M345" s="152"/>
      <c r="N345" s="115"/>
      <c r="O345" s="152"/>
      <c r="P345" s="114"/>
    </row>
    <row r="346" spans="1:16" ht="26.4" x14ac:dyDescent="0.25">
      <c r="A346" s="40" t="s">
        <v>2</v>
      </c>
      <c r="B346" s="5" t="s">
        <v>84</v>
      </c>
      <c r="C346" s="105"/>
      <c r="D346" s="113"/>
      <c r="E346" s="105"/>
      <c r="F346" s="123">
        <v>60</v>
      </c>
      <c r="G346" s="28"/>
      <c r="H346" s="28"/>
      <c r="I346" s="123"/>
      <c r="J346" s="16"/>
      <c r="K346" s="16">
        <f>SUBTOTAL(9,K347:K348)</f>
        <v>4642</v>
      </c>
      <c r="L346" s="115"/>
      <c r="M346" s="152"/>
      <c r="N346" s="115"/>
      <c r="O346" s="152"/>
      <c r="P346" s="114"/>
    </row>
    <row r="347" spans="1:16" ht="30.6" x14ac:dyDescent="0.25">
      <c r="A347" s="39" t="s">
        <v>165</v>
      </c>
      <c r="B347" s="6" t="s">
        <v>66</v>
      </c>
      <c r="C347" s="105" t="s">
        <v>699</v>
      </c>
      <c r="D347" s="113" t="s">
        <v>700</v>
      </c>
      <c r="E347" s="105" t="s">
        <v>593</v>
      </c>
      <c r="F347" s="123">
        <v>60</v>
      </c>
      <c r="G347" s="44">
        <v>244</v>
      </c>
      <c r="H347" s="44">
        <v>349</v>
      </c>
      <c r="I347" s="123"/>
      <c r="J347" s="114"/>
      <c r="K347" s="12">
        <f>(6*700)*1.06</f>
        <v>4452</v>
      </c>
      <c r="L347" s="115"/>
      <c r="M347" s="152">
        <v>4400</v>
      </c>
      <c r="N347" s="115"/>
      <c r="O347" s="152">
        <f>M347</f>
        <v>4400</v>
      </c>
      <c r="P347" s="114"/>
    </row>
    <row r="348" spans="1:16" ht="26.4" x14ac:dyDescent="0.25">
      <c r="A348" s="39" t="s">
        <v>166</v>
      </c>
      <c r="B348" s="6" t="s">
        <v>211</v>
      </c>
      <c r="C348" s="105" t="s">
        <v>699</v>
      </c>
      <c r="D348" s="113" t="s">
        <v>700</v>
      </c>
      <c r="E348" s="105"/>
      <c r="F348" s="123">
        <v>60</v>
      </c>
      <c r="G348" s="44">
        <v>244</v>
      </c>
      <c r="H348" s="44">
        <v>349</v>
      </c>
      <c r="I348" s="123"/>
      <c r="J348" s="114"/>
      <c r="K348" s="12">
        <f>INT((6*30)*1.06)</f>
        <v>190</v>
      </c>
      <c r="L348" s="115"/>
      <c r="M348" s="152"/>
      <c r="N348" s="115"/>
      <c r="O348" s="152"/>
      <c r="P348" s="114"/>
    </row>
    <row r="349" spans="1:16" ht="39.6" x14ac:dyDescent="0.25">
      <c r="A349" s="40" t="s">
        <v>3</v>
      </c>
      <c r="B349" s="80" t="s">
        <v>87</v>
      </c>
      <c r="C349" s="105"/>
      <c r="D349" s="113"/>
      <c r="E349" s="123"/>
      <c r="F349" s="123">
        <v>60</v>
      </c>
      <c r="G349" s="28"/>
      <c r="H349" s="28"/>
      <c r="I349" s="123"/>
      <c r="K349" s="11">
        <f>K350+K351+K352</f>
        <v>16928</v>
      </c>
      <c r="L349" s="115"/>
      <c r="M349" s="152"/>
      <c r="N349" s="115"/>
      <c r="O349" s="152"/>
      <c r="P349" s="114"/>
    </row>
    <row r="350" spans="1:16" ht="30.6" x14ac:dyDescent="0.25">
      <c r="A350" s="39" t="s">
        <v>24</v>
      </c>
      <c r="B350" s="6" t="s">
        <v>66</v>
      </c>
      <c r="C350" s="105" t="s">
        <v>699</v>
      </c>
      <c r="D350" s="113" t="s">
        <v>700</v>
      </c>
      <c r="E350" s="105" t="s">
        <v>593</v>
      </c>
      <c r="F350" s="123">
        <v>60</v>
      </c>
      <c r="G350" s="44">
        <v>244</v>
      </c>
      <c r="H350" s="44">
        <v>349</v>
      </c>
      <c r="I350" s="123"/>
      <c r="J350" s="114"/>
      <c r="K350" s="12">
        <f>(18*700)*1.06</f>
        <v>13356</v>
      </c>
      <c r="L350" s="115"/>
      <c r="M350" s="152">
        <v>13200</v>
      </c>
      <c r="N350" s="115"/>
      <c r="O350" s="152">
        <f>M350</f>
        <v>13200</v>
      </c>
      <c r="P350" s="114"/>
    </row>
    <row r="351" spans="1:16" ht="26.4" x14ac:dyDescent="0.25">
      <c r="A351" s="39" t="s">
        <v>293</v>
      </c>
      <c r="B351" s="6" t="s">
        <v>211</v>
      </c>
      <c r="C351" s="105" t="s">
        <v>699</v>
      </c>
      <c r="D351" s="113" t="s">
        <v>700</v>
      </c>
      <c r="E351" s="105"/>
      <c r="F351" s="123">
        <v>60</v>
      </c>
      <c r="G351" s="44">
        <v>244</v>
      </c>
      <c r="H351" s="44">
        <v>349</v>
      </c>
      <c r="I351" s="123"/>
      <c r="J351" s="114"/>
      <c r="K351" s="12">
        <f>INT((18*30)*1.06)</f>
        <v>572</v>
      </c>
      <c r="L351" s="115"/>
      <c r="M351" s="152"/>
      <c r="N351" s="115"/>
      <c r="O351" s="152"/>
      <c r="P351" s="114"/>
    </row>
    <row r="352" spans="1:16" ht="40.5" customHeight="1" x14ac:dyDescent="0.25">
      <c r="A352" s="39" t="s">
        <v>533</v>
      </c>
      <c r="B352" s="6" t="s">
        <v>534</v>
      </c>
      <c r="C352" s="105"/>
      <c r="D352" s="113"/>
      <c r="E352" s="105"/>
      <c r="F352" s="123">
        <v>60</v>
      </c>
      <c r="G352" s="44">
        <v>244</v>
      </c>
      <c r="H352" s="44">
        <v>342</v>
      </c>
      <c r="I352" s="123"/>
      <c r="J352" s="114"/>
      <c r="K352" s="12">
        <v>3000</v>
      </c>
      <c r="L352" s="115"/>
      <c r="M352" s="152"/>
      <c r="N352" s="115"/>
      <c r="O352" s="152"/>
      <c r="P352" s="114"/>
    </row>
    <row r="353" spans="1:16" ht="26.4" x14ac:dyDescent="0.25">
      <c r="A353" s="40" t="s">
        <v>152</v>
      </c>
      <c r="B353" s="5" t="s">
        <v>86</v>
      </c>
      <c r="C353" s="105"/>
      <c r="D353" s="113"/>
      <c r="E353" s="105"/>
      <c r="F353" s="123">
        <v>60</v>
      </c>
      <c r="G353" s="28"/>
      <c r="H353" s="28"/>
      <c r="I353" s="123"/>
      <c r="J353" s="114"/>
      <c r="K353" s="11">
        <f>K354+K355+K356+K357+K358+K359+K360</f>
        <v>130228</v>
      </c>
      <c r="L353" s="115"/>
      <c r="M353" s="152"/>
      <c r="N353" s="115"/>
      <c r="O353" s="152"/>
      <c r="P353" s="114"/>
    </row>
    <row r="354" spans="1:16" ht="61.2" x14ac:dyDescent="0.25">
      <c r="A354" s="39" t="s">
        <v>216</v>
      </c>
      <c r="B354" s="6" t="s">
        <v>535</v>
      </c>
      <c r="C354" s="105" t="s">
        <v>699</v>
      </c>
      <c r="D354" s="113" t="s">
        <v>700</v>
      </c>
      <c r="E354" s="105" t="s">
        <v>675</v>
      </c>
      <c r="F354" s="123">
        <v>60</v>
      </c>
      <c r="G354" s="44">
        <v>244</v>
      </c>
      <c r="H354" s="44">
        <v>349</v>
      </c>
      <c r="I354" s="123"/>
      <c r="J354" s="114"/>
      <c r="K354" s="12">
        <f>(60*700)*1.06+(1500*18)</f>
        <v>71520</v>
      </c>
      <c r="L354" s="115"/>
      <c r="M354" s="152">
        <f>35000+36251.7</f>
        <v>71251.7</v>
      </c>
      <c r="N354" s="115"/>
      <c r="O354" s="152">
        <f>M354</f>
        <v>71251.7</v>
      </c>
      <c r="P354" s="114"/>
    </row>
    <row r="355" spans="1:16" ht="30.6" x14ac:dyDescent="0.25">
      <c r="A355" s="39" t="s">
        <v>217</v>
      </c>
      <c r="B355" s="6" t="s">
        <v>65</v>
      </c>
      <c r="C355" s="105" t="s">
        <v>699</v>
      </c>
      <c r="D355" s="113" t="s">
        <v>700</v>
      </c>
      <c r="E355" s="105" t="s">
        <v>618</v>
      </c>
      <c r="F355" s="123">
        <v>60</v>
      </c>
      <c r="G355" s="44">
        <v>244</v>
      </c>
      <c r="H355" s="44">
        <v>342</v>
      </c>
      <c r="I355" s="123"/>
      <c r="J355" s="114"/>
      <c r="K355" s="12">
        <v>3180</v>
      </c>
      <c r="L355" s="115"/>
      <c r="M355" s="152">
        <f>(32.85+18+36)*36</f>
        <v>3126.6</v>
      </c>
      <c r="N355" s="115"/>
      <c r="O355" s="152">
        <f>M355</f>
        <v>3126.6</v>
      </c>
      <c r="P355" s="114"/>
    </row>
    <row r="356" spans="1:16" ht="26.4" x14ac:dyDescent="0.25">
      <c r="A356" s="39" t="s">
        <v>218</v>
      </c>
      <c r="B356" s="6" t="s">
        <v>211</v>
      </c>
      <c r="C356" s="105" t="s">
        <v>699</v>
      </c>
      <c r="D356" s="113" t="s">
        <v>700</v>
      </c>
      <c r="E356" s="123"/>
      <c r="F356" s="123">
        <v>60</v>
      </c>
      <c r="G356" s="44">
        <v>244</v>
      </c>
      <c r="H356" s="44">
        <v>349</v>
      </c>
      <c r="I356" s="123"/>
      <c r="J356" s="114"/>
      <c r="K356" s="12">
        <f>(60*125)*1.06</f>
        <v>7950</v>
      </c>
      <c r="L356" s="115"/>
      <c r="M356" s="152"/>
      <c r="N356" s="115"/>
      <c r="O356" s="152"/>
      <c r="P356" s="114"/>
    </row>
    <row r="357" spans="1:16" ht="30.6" x14ac:dyDescent="0.25">
      <c r="A357" s="39" t="s">
        <v>219</v>
      </c>
      <c r="B357" s="6" t="s">
        <v>211</v>
      </c>
      <c r="C357" s="105" t="s">
        <v>699</v>
      </c>
      <c r="D357" s="113" t="s">
        <v>700</v>
      </c>
      <c r="E357" s="105" t="s">
        <v>595</v>
      </c>
      <c r="F357" s="123">
        <v>60</v>
      </c>
      <c r="G357" s="44">
        <v>244</v>
      </c>
      <c r="H357" s="44">
        <v>349</v>
      </c>
      <c r="I357" s="123"/>
      <c r="J357" s="114"/>
      <c r="K357" s="12">
        <f>(60*30)*1.06</f>
        <v>1908</v>
      </c>
      <c r="L357" s="115"/>
      <c r="M357" s="152">
        <f>20*12</f>
        <v>240</v>
      </c>
      <c r="N357" s="115"/>
      <c r="O357" s="152">
        <f>M357</f>
        <v>240</v>
      </c>
      <c r="P357" s="114"/>
    </row>
    <row r="358" spans="1:16" ht="30.6" x14ac:dyDescent="0.25">
      <c r="A358" s="39" t="s">
        <v>317</v>
      </c>
      <c r="B358" s="6" t="s">
        <v>211</v>
      </c>
      <c r="C358" s="105" t="s">
        <v>699</v>
      </c>
      <c r="D358" s="113" t="s">
        <v>700</v>
      </c>
      <c r="E358" s="105" t="s">
        <v>595</v>
      </c>
      <c r="F358" s="123">
        <v>60</v>
      </c>
      <c r="G358" s="44">
        <v>244</v>
      </c>
      <c r="H358" s="44">
        <v>349</v>
      </c>
      <c r="I358" s="123"/>
      <c r="J358" s="114"/>
      <c r="K358" s="12">
        <f>(18*1000)*1.06</f>
        <v>19080</v>
      </c>
      <c r="L358" s="115"/>
      <c r="M358" s="152">
        <f>240*12</f>
        <v>2880</v>
      </c>
      <c r="N358" s="115"/>
      <c r="O358" s="152">
        <v>2880</v>
      </c>
      <c r="P358" s="114"/>
    </row>
    <row r="359" spans="1:16" ht="40.799999999999997" x14ac:dyDescent="0.25">
      <c r="A359" s="39" t="s">
        <v>318</v>
      </c>
      <c r="B359" s="6" t="s">
        <v>40</v>
      </c>
      <c r="C359" s="105" t="s">
        <v>699</v>
      </c>
      <c r="D359" s="113" t="s">
        <v>700</v>
      </c>
      <c r="E359" s="105" t="s">
        <v>587</v>
      </c>
      <c r="F359" s="123">
        <v>60</v>
      </c>
      <c r="G359" s="44">
        <v>244</v>
      </c>
      <c r="H359" s="44">
        <v>226</v>
      </c>
      <c r="I359" s="123"/>
      <c r="J359" s="114"/>
      <c r="K359" s="12">
        <v>1590</v>
      </c>
      <c r="L359" s="115"/>
      <c r="M359" s="152">
        <v>1320</v>
      </c>
      <c r="N359" s="115"/>
      <c r="O359" s="152">
        <v>1320</v>
      </c>
      <c r="P359" s="114"/>
    </row>
    <row r="360" spans="1:16" s="111" customFormat="1" ht="30.6" x14ac:dyDescent="0.25">
      <c r="A360" s="39" t="s">
        <v>319</v>
      </c>
      <c r="B360" s="6" t="s">
        <v>25</v>
      </c>
      <c r="C360" s="105" t="s">
        <v>699</v>
      </c>
      <c r="D360" s="113" t="s">
        <v>700</v>
      </c>
      <c r="E360" s="105" t="s">
        <v>590</v>
      </c>
      <c r="F360" s="123">
        <v>60</v>
      </c>
      <c r="G360" s="44">
        <v>244</v>
      </c>
      <c r="H360" s="44">
        <v>226</v>
      </c>
      <c r="I360" s="123"/>
      <c r="J360" s="125"/>
      <c r="K360" s="12">
        <v>25000</v>
      </c>
      <c r="L360" s="115"/>
      <c r="M360" s="152">
        <v>7650</v>
      </c>
      <c r="N360" s="115"/>
      <c r="O360" s="152">
        <v>7650</v>
      </c>
      <c r="P360" s="114"/>
    </row>
    <row r="361" spans="1:16" ht="26.4" x14ac:dyDescent="0.25">
      <c r="A361" s="40" t="s">
        <v>26</v>
      </c>
      <c r="B361" s="5" t="s">
        <v>88</v>
      </c>
      <c r="C361" s="105"/>
      <c r="D361" s="113"/>
      <c r="E361" s="105"/>
      <c r="F361" s="123">
        <v>60</v>
      </c>
      <c r="G361" s="28"/>
      <c r="H361" s="28"/>
      <c r="I361" s="105"/>
      <c r="J361" s="114"/>
      <c r="K361" s="11">
        <f>K362</f>
        <v>37100</v>
      </c>
      <c r="L361" s="115"/>
      <c r="M361" s="152"/>
      <c r="N361" s="115"/>
      <c r="O361" s="152"/>
      <c r="P361" s="114"/>
    </row>
    <row r="362" spans="1:16" x14ac:dyDescent="0.25">
      <c r="A362" s="39" t="s">
        <v>7</v>
      </c>
      <c r="B362" s="6" t="s">
        <v>14</v>
      </c>
      <c r="C362" s="105" t="s">
        <v>699</v>
      </c>
      <c r="D362" s="113" t="s">
        <v>702</v>
      </c>
      <c r="E362" s="105"/>
      <c r="F362" s="123">
        <v>60</v>
      </c>
      <c r="G362" s="44">
        <v>244</v>
      </c>
      <c r="H362" s="44">
        <v>222</v>
      </c>
      <c r="I362" s="105"/>
      <c r="J362" s="114"/>
      <c r="K362" s="12">
        <v>37100</v>
      </c>
      <c r="L362" s="115"/>
      <c r="M362" s="152"/>
      <c r="N362" s="115"/>
      <c r="O362" s="152"/>
      <c r="P362" s="114"/>
    </row>
    <row r="363" spans="1:16" ht="39.6" x14ac:dyDescent="0.25">
      <c r="A363" s="40" t="s">
        <v>28</v>
      </c>
      <c r="B363" s="80" t="s">
        <v>89</v>
      </c>
      <c r="C363" s="105"/>
      <c r="D363" s="113"/>
      <c r="E363" s="105"/>
      <c r="F363" s="123">
        <v>60</v>
      </c>
      <c r="G363" s="28"/>
      <c r="H363" s="28"/>
      <c r="I363" s="123"/>
      <c r="J363" s="114"/>
      <c r="K363" s="11">
        <f>K364+K365+K366</f>
        <v>16928</v>
      </c>
      <c r="L363" s="115"/>
      <c r="M363" s="152"/>
      <c r="N363" s="115"/>
      <c r="O363" s="152"/>
      <c r="P363" s="114"/>
    </row>
    <row r="364" spans="1:16" ht="30.6" x14ac:dyDescent="0.25">
      <c r="A364" s="39" t="s">
        <v>167</v>
      </c>
      <c r="B364" s="6" t="s">
        <v>66</v>
      </c>
      <c r="C364" s="105" t="s">
        <v>699</v>
      </c>
      <c r="D364" s="113" t="s">
        <v>700</v>
      </c>
      <c r="E364" s="105" t="s">
        <v>593</v>
      </c>
      <c r="F364" s="123">
        <v>60</v>
      </c>
      <c r="G364" s="44">
        <v>244</v>
      </c>
      <c r="H364" s="44">
        <v>349</v>
      </c>
      <c r="I364" s="123"/>
      <c r="J364" s="114"/>
      <c r="K364" s="12">
        <f>(18*700)*1.06</f>
        <v>13356</v>
      </c>
      <c r="L364" s="115"/>
      <c r="M364" s="152">
        <v>13200</v>
      </c>
      <c r="N364" s="115"/>
      <c r="O364" s="152">
        <f>M364</f>
        <v>13200</v>
      </c>
      <c r="P364" s="114"/>
    </row>
    <row r="365" spans="1:16" ht="30.6" x14ac:dyDescent="0.25">
      <c r="A365" s="39" t="s">
        <v>168</v>
      </c>
      <c r="B365" s="6" t="s">
        <v>211</v>
      </c>
      <c r="C365" s="105" t="s">
        <v>699</v>
      </c>
      <c r="D365" s="113" t="s">
        <v>700</v>
      </c>
      <c r="E365" s="105" t="s">
        <v>595</v>
      </c>
      <c r="F365" s="123">
        <v>60</v>
      </c>
      <c r="G365" s="44">
        <v>244</v>
      </c>
      <c r="H365" s="44">
        <v>349</v>
      </c>
      <c r="I365" s="105"/>
      <c r="J365" s="114"/>
      <c r="K365" s="12">
        <f>INT((18*30)*1.06)</f>
        <v>572</v>
      </c>
      <c r="L365" s="115"/>
      <c r="M365" s="152">
        <f>25*12</f>
        <v>300</v>
      </c>
      <c r="N365" s="115"/>
      <c r="O365" s="152">
        <v>300</v>
      </c>
      <c r="P365" s="114"/>
    </row>
    <row r="366" spans="1:16" ht="39.75" customHeight="1" x14ac:dyDescent="0.25">
      <c r="A366" s="39" t="s">
        <v>536</v>
      </c>
      <c r="B366" s="6" t="s">
        <v>534</v>
      </c>
      <c r="C366" s="105"/>
      <c r="D366" s="113"/>
      <c r="E366" s="105"/>
      <c r="F366" s="123">
        <v>60</v>
      </c>
      <c r="G366" s="44">
        <v>244</v>
      </c>
      <c r="H366" s="44">
        <v>342</v>
      </c>
      <c r="I366" s="123"/>
      <c r="J366" s="114"/>
      <c r="K366" s="12">
        <v>3000</v>
      </c>
      <c r="L366" s="115"/>
      <c r="M366" s="152"/>
      <c r="N366" s="115"/>
      <c r="O366" s="152"/>
      <c r="P366" s="114"/>
    </row>
    <row r="367" spans="1:16" ht="39.6" x14ac:dyDescent="0.25">
      <c r="A367" s="40" t="s">
        <v>30</v>
      </c>
      <c r="B367" s="5" t="s">
        <v>91</v>
      </c>
      <c r="C367" s="105"/>
      <c r="D367" s="113"/>
      <c r="E367" s="123"/>
      <c r="F367" s="123">
        <v>60</v>
      </c>
      <c r="G367" s="65"/>
      <c r="H367" s="65"/>
      <c r="I367" s="123"/>
      <c r="J367" s="114"/>
      <c r="K367" s="11">
        <f>K368</f>
        <v>37100</v>
      </c>
      <c r="L367" s="115"/>
      <c r="M367" s="152"/>
      <c r="N367" s="115"/>
      <c r="O367" s="152"/>
      <c r="P367" s="114"/>
    </row>
    <row r="368" spans="1:16" ht="30.6" x14ac:dyDescent="0.25">
      <c r="A368" s="39" t="s">
        <v>31</v>
      </c>
      <c r="B368" s="6" t="s">
        <v>14</v>
      </c>
      <c r="C368" s="105" t="s">
        <v>699</v>
      </c>
      <c r="D368" s="113" t="s">
        <v>702</v>
      </c>
      <c r="E368" s="105" t="s">
        <v>588</v>
      </c>
      <c r="F368" s="123">
        <v>60</v>
      </c>
      <c r="G368" s="44">
        <v>244</v>
      </c>
      <c r="H368" s="44">
        <v>222</v>
      </c>
      <c r="I368" s="123"/>
      <c r="J368" s="114"/>
      <c r="K368" s="12">
        <v>37100</v>
      </c>
      <c r="L368" s="115"/>
      <c r="M368" s="152">
        <v>37000</v>
      </c>
      <c r="N368" s="115"/>
      <c r="O368" s="152">
        <v>37000</v>
      </c>
      <c r="P368" s="114"/>
    </row>
    <row r="369" spans="1:16" ht="39.6" x14ac:dyDescent="0.25">
      <c r="A369" s="40" t="s">
        <v>32</v>
      </c>
      <c r="B369" s="5" t="s">
        <v>92</v>
      </c>
      <c r="C369" s="105"/>
      <c r="D369" s="113"/>
      <c r="E369" s="105"/>
      <c r="F369" s="123">
        <v>60</v>
      </c>
      <c r="G369" s="65"/>
      <c r="H369" s="65"/>
      <c r="I369" s="123"/>
      <c r="J369" s="114"/>
      <c r="K369" s="11">
        <f>K370+K371+K372+K373+K374</f>
        <v>28758</v>
      </c>
      <c r="L369" s="115"/>
      <c r="M369" s="152"/>
      <c r="N369" s="115"/>
      <c r="O369" s="152"/>
      <c r="P369" s="114"/>
    </row>
    <row r="370" spans="1:16" ht="61.2" x14ac:dyDescent="0.25">
      <c r="A370" s="39" t="s">
        <v>169</v>
      </c>
      <c r="B370" s="6" t="s">
        <v>535</v>
      </c>
      <c r="C370" s="105" t="s">
        <v>699</v>
      </c>
      <c r="D370" s="113" t="s">
        <v>700</v>
      </c>
      <c r="E370" s="105" t="s">
        <v>674</v>
      </c>
      <c r="F370" s="123">
        <v>60</v>
      </c>
      <c r="G370" s="44">
        <v>244</v>
      </c>
      <c r="H370" s="44">
        <v>349</v>
      </c>
      <c r="I370" s="123"/>
      <c r="J370" s="114"/>
      <c r="K370" s="12">
        <f>(18*700)*1.06+(1500*4)</f>
        <v>19356</v>
      </c>
      <c r="L370" s="115"/>
      <c r="M370" s="152">
        <f>13200+5520</f>
        <v>18720</v>
      </c>
      <c r="N370" s="115"/>
      <c r="O370" s="152">
        <f>M370</f>
        <v>18720</v>
      </c>
      <c r="P370" s="114"/>
    </row>
    <row r="371" spans="1:16" ht="30.6" x14ac:dyDescent="0.25">
      <c r="A371" s="39" t="s">
        <v>170</v>
      </c>
      <c r="B371" s="6" t="s">
        <v>211</v>
      </c>
      <c r="C371" s="105" t="s">
        <v>699</v>
      </c>
      <c r="D371" s="113" t="s">
        <v>700</v>
      </c>
      <c r="E371" s="105" t="s">
        <v>595</v>
      </c>
      <c r="F371" s="123">
        <v>60</v>
      </c>
      <c r="G371" s="44">
        <v>244</v>
      </c>
      <c r="H371" s="44">
        <v>349</v>
      </c>
      <c r="I371" s="123"/>
      <c r="J371" s="114"/>
      <c r="K371" s="12">
        <f>INT((18*30)*1.06)</f>
        <v>572</v>
      </c>
      <c r="L371" s="115"/>
      <c r="M371" s="152">
        <f>25*12</f>
        <v>300</v>
      </c>
      <c r="N371" s="115"/>
      <c r="O371" s="152">
        <v>300</v>
      </c>
      <c r="P371" s="114"/>
    </row>
    <row r="372" spans="1:16" ht="26.4" x14ac:dyDescent="0.25">
      <c r="A372" s="39" t="s">
        <v>171</v>
      </c>
      <c r="B372" s="6" t="s">
        <v>211</v>
      </c>
      <c r="C372" s="105" t="s">
        <v>699</v>
      </c>
      <c r="D372" s="113" t="s">
        <v>700</v>
      </c>
      <c r="E372" s="123"/>
      <c r="F372" s="123">
        <v>60</v>
      </c>
      <c r="G372" s="44">
        <v>244</v>
      </c>
      <c r="H372" s="44">
        <v>349</v>
      </c>
      <c r="I372" s="123"/>
      <c r="J372" s="114"/>
      <c r="K372" s="12">
        <f>(12*125)*1.06</f>
        <v>1590</v>
      </c>
      <c r="L372" s="115"/>
      <c r="M372" s="152"/>
      <c r="N372" s="115"/>
      <c r="O372" s="152"/>
      <c r="P372" s="114"/>
    </row>
    <row r="373" spans="1:16" ht="30.6" x14ac:dyDescent="0.25">
      <c r="A373" s="39" t="s">
        <v>172</v>
      </c>
      <c r="B373" s="6" t="s">
        <v>211</v>
      </c>
      <c r="C373" s="105" t="s">
        <v>699</v>
      </c>
      <c r="D373" s="113" t="s">
        <v>700</v>
      </c>
      <c r="E373" s="105" t="s">
        <v>595</v>
      </c>
      <c r="F373" s="123">
        <v>60</v>
      </c>
      <c r="G373" s="44">
        <v>244</v>
      </c>
      <c r="H373" s="44">
        <v>349</v>
      </c>
      <c r="I373" s="123"/>
      <c r="J373" s="114"/>
      <c r="K373" s="12">
        <f>(4*1000)*1.06</f>
        <v>4240</v>
      </c>
      <c r="L373" s="115"/>
      <c r="M373" s="152">
        <f>212*10</f>
        <v>2120</v>
      </c>
      <c r="N373" s="115"/>
      <c r="O373" s="152">
        <v>2120</v>
      </c>
      <c r="P373" s="114"/>
    </row>
    <row r="374" spans="1:16" ht="26.4" x14ac:dyDescent="0.25">
      <c r="A374" s="39" t="s">
        <v>537</v>
      </c>
      <c r="B374" s="6" t="s">
        <v>534</v>
      </c>
      <c r="C374" s="105"/>
      <c r="D374" s="113"/>
      <c r="E374" s="123"/>
      <c r="F374" s="123">
        <v>60</v>
      </c>
      <c r="G374" s="44">
        <v>244</v>
      </c>
      <c r="H374" s="44">
        <v>342</v>
      </c>
      <c r="I374" s="123"/>
      <c r="J374" s="114"/>
      <c r="K374" s="12">
        <v>3000</v>
      </c>
      <c r="L374" s="115"/>
      <c r="M374" s="152"/>
      <c r="N374" s="115"/>
      <c r="O374" s="152"/>
      <c r="P374" s="114"/>
    </row>
    <row r="375" spans="1:16" s="111" customFormat="1" ht="26.4" x14ac:dyDescent="0.25">
      <c r="A375" s="40" t="s">
        <v>33</v>
      </c>
      <c r="B375" s="5" t="s">
        <v>320</v>
      </c>
      <c r="C375" s="107"/>
      <c r="D375" s="113"/>
      <c r="E375" s="124"/>
      <c r="F375" s="123">
        <v>60</v>
      </c>
      <c r="G375" s="65"/>
      <c r="H375" s="28"/>
      <c r="I375" s="124"/>
      <c r="J375" s="125"/>
      <c r="K375" s="11">
        <f>K376+K377</f>
        <v>66600</v>
      </c>
      <c r="L375" s="1"/>
      <c r="M375" s="165"/>
      <c r="N375" s="1"/>
      <c r="O375" s="167"/>
      <c r="P375" s="125"/>
    </row>
    <row r="376" spans="1:16" ht="26.4" x14ac:dyDescent="0.25">
      <c r="A376" s="39" t="s">
        <v>34</v>
      </c>
      <c r="B376" s="6" t="s">
        <v>321</v>
      </c>
      <c r="C376" s="163" t="s">
        <v>699</v>
      </c>
      <c r="D376" s="139" t="s">
        <v>702</v>
      </c>
      <c r="E376" s="138"/>
      <c r="F376" s="123">
        <v>60</v>
      </c>
      <c r="G376" s="44">
        <v>244</v>
      </c>
      <c r="H376" s="44">
        <v>226</v>
      </c>
      <c r="I376" s="138"/>
      <c r="J376" s="114"/>
      <c r="K376" s="12">
        <v>63600</v>
      </c>
      <c r="L376" s="142"/>
      <c r="M376" s="159"/>
      <c r="N376" s="142"/>
      <c r="O376" s="159"/>
      <c r="P376" s="140"/>
    </row>
    <row r="377" spans="1:16" ht="26.4" x14ac:dyDescent="0.25">
      <c r="A377" s="39" t="s">
        <v>365</v>
      </c>
      <c r="B377" s="6" t="s">
        <v>534</v>
      </c>
      <c r="C377" s="112"/>
      <c r="D377" s="113"/>
      <c r="E377" s="105"/>
      <c r="F377" s="123">
        <v>60</v>
      </c>
      <c r="G377" s="44">
        <v>244</v>
      </c>
      <c r="H377" s="44">
        <v>342</v>
      </c>
      <c r="I377" s="105"/>
      <c r="J377" s="114"/>
      <c r="K377" s="12">
        <v>3000</v>
      </c>
      <c r="L377" s="21"/>
      <c r="M377" s="152"/>
      <c r="N377" s="115"/>
      <c r="O377" s="152"/>
      <c r="P377" s="114"/>
    </row>
    <row r="378" spans="1:16" s="111" customFormat="1" ht="24.75" customHeight="1" x14ac:dyDescent="0.25">
      <c r="A378" s="38">
        <v>13</v>
      </c>
      <c r="B378" s="5" t="s">
        <v>93</v>
      </c>
      <c r="C378" s="107"/>
      <c r="D378" s="119"/>
      <c r="E378" s="124"/>
      <c r="F378" s="123">
        <v>60</v>
      </c>
      <c r="G378" s="65"/>
      <c r="H378" s="65"/>
      <c r="I378" s="124"/>
      <c r="J378" s="125"/>
      <c r="K378" s="11">
        <f>K379+K380</f>
        <v>69960</v>
      </c>
      <c r="L378" s="54"/>
      <c r="M378" s="164"/>
      <c r="N378" s="115"/>
      <c r="O378" s="152"/>
      <c r="P378" s="125"/>
    </row>
    <row r="379" spans="1:16" ht="13.8" x14ac:dyDescent="0.25">
      <c r="A379" s="39" t="s">
        <v>118</v>
      </c>
      <c r="B379" s="6" t="s">
        <v>21</v>
      </c>
      <c r="C379" s="112" t="s">
        <v>699</v>
      </c>
      <c r="D379" s="113" t="s">
        <v>708</v>
      </c>
      <c r="E379" s="105"/>
      <c r="F379" s="123">
        <v>60</v>
      </c>
      <c r="G379" s="44">
        <v>244</v>
      </c>
      <c r="H379" s="44">
        <v>226</v>
      </c>
      <c r="I379" s="105"/>
      <c r="J379" s="114"/>
      <c r="K379" s="12">
        <v>31800</v>
      </c>
      <c r="L379" s="115"/>
      <c r="M379" s="186"/>
      <c r="N379" s="115"/>
      <c r="O379" s="167"/>
      <c r="P379" s="114"/>
    </row>
    <row r="380" spans="1:16" x14ac:dyDescent="0.25">
      <c r="A380" s="39" t="s">
        <v>119</v>
      </c>
      <c r="B380" s="6" t="s">
        <v>94</v>
      </c>
      <c r="C380" s="112" t="s">
        <v>699</v>
      </c>
      <c r="D380" s="113" t="s">
        <v>708</v>
      </c>
      <c r="E380" s="151"/>
      <c r="F380" s="123">
        <v>60</v>
      </c>
      <c r="G380" s="44">
        <v>244</v>
      </c>
      <c r="H380" s="44">
        <v>226</v>
      </c>
      <c r="I380" s="151"/>
      <c r="J380" s="114"/>
      <c r="K380" s="12">
        <v>38160</v>
      </c>
      <c r="L380" s="142"/>
      <c r="M380" s="187"/>
      <c r="N380" s="142"/>
      <c r="O380" s="159"/>
      <c r="P380" s="140"/>
    </row>
    <row r="381" spans="1:16" ht="26.4" x14ac:dyDescent="0.25">
      <c r="A381" s="40" t="s">
        <v>36</v>
      </c>
      <c r="B381" s="5" t="s">
        <v>103</v>
      </c>
      <c r="C381" s="105"/>
      <c r="D381" s="113"/>
      <c r="E381" s="123"/>
      <c r="F381" s="123">
        <v>60</v>
      </c>
      <c r="G381" s="65"/>
      <c r="H381" s="65" t="s">
        <v>582</v>
      </c>
      <c r="I381" s="123"/>
      <c r="J381" s="114"/>
      <c r="K381" s="11">
        <f>SUM(K382:K383)</f>
        <v>11978</v>
      </c>
      <c r="L381" s="164"/>
      <c r="M381" s="152"/>
      <c r="N381" s="152"/>
      <c r="O381" s="152"/>
      <c r="P381" s="114"/>
    </row>
    <row r="382" spans="1:16" ht="30.6" x14ac:dyDescent="0.25">
      <c r="A382" s="39" t="s">
        <v>37</v>
      </c>
      <c r="B382" s="6" t="s">
        <v>66</v>
      </c>
      <c r="C382" s="105" t="s">
        <v>699</v>
      </c>
      <c r="D382" s="113" t="s">
        <v>700</v>
      </c>
      <c r="E382" s="105" t="s">
        <v>593</v>
      </c>
      <c r="F382" s="123">
        <v>60</v>
      </c>
      <c r="G382" s="44">
        <v>244</v>
      </c>
      <c r="H382" s="44">
        <v>349</v>
      </c>
      <c r="I382" s="123"/>
      <c r="J382" s="114"/>
      <c r="K382" s="12">
        <f>(9*700)*1.06</f>
        <v>6678</v>
      </c>
      <c r="L382" s="164"/>
      <c r="M382" s="188">
        <v>6600</v>
      </c>
      <c r="N382" s="152"/>
      <c r="O382" s="152">
        <f>M382</f>
        <v>6600</v>
      </c>
      <c r="P382" s="114"/>
    </row>
    <row r="383" spans="1:16" ht="26.4" x14ac:dyDescent="0.25">
      <c r="A383" s="39" t="s">
        <v>322</v>
      </c>
      <c r="B383" s="6" t="s">
        <v>256</v>
      </c>
      <c r="C383" s="105" t="s">
        <v>699</v>
      </c>
      <c r="D383" s="113" t="s">
        <v>700</v>
      </c>
      <c r="E383" s="123"/>
      <c r="F383" s="123">
        <v>60</v>
      </c>
      <c r="G383" s="44">
        <v>244</v>
      </c>
      <c r="H383" s="44">
        <v>349</v>
      </c>
      <c r="I383" s="123"/>
      <c r="J383" s="114"/>
      <c r="K383" s="12">
        <v>5300</v>
      </c>
      <c r="L383" s="165"/>
      <c r="M383" s="186"/>
      <c r="N383" s="165"/>
      <c r="O383" s="167"/>
      <c r="P383" s="114"/>
    </row>
    <row r="384" spans="1:16" ht="26.4" x14ac:dyDescent="0.25">
      <c r="A384" s="40" t="s">
        <v>38</v>
      </c>
      <c r="B384" s="5" t="s">
        <v>95</v>
      </c>
      <c r="C384" s="163"/>
      <c r="D384" s="139"/>
      <c r="E384" s="138"/>
      <c r="F384" s="123">
        <v>60</v>
      </c>
      <c r="G384" s="65"/>
      <c r="H384" s="65"/>
      <c r="I384" s="138"/>
      <c r="J384" s="114"/>
      <c r="K384" s="11">
        <f>K385+K386+K387+K388</f>
        <v>8437</v>
      </c>
      <c r="L384" s="142"/>
      <c r="M384" s="159"/>
      <c r="N384" s="142"/>
      <c r="O384" s="159"/>
      <c r="P384" s="140"/>
    </row>
    <row r="385" spans="1:16" s="111" customFormat="1" ht="30.6" x14ac:dyDescent="0.25">
      <c r="A385" s="39" t="s">
        <v>226</v>
      </c>
      <c r="B385" s="6" t="s">
        <v>211</v>
      </c>
      <c r="C385" s="105" t="s">
        <v>699</v>
      </c>
      <c r="D385" s="113" t="s">
        <v>700</v>
      </c>
      <c r="E385" s="105" t="s">
        <v>595</v>
      </c>
      <c r="F385" s="123">
        <v>60</v>
      </c>
      <c r="G385" s="44">
        <v>244</v>
      </c>
      <c r="H385" s="44">
        <v>349</v>
      </c>
      <c r="I385" s="124"/>
      <c r="J385" s="125"/>
      <c r="K385" s="12">
        <f>INT((6*30)*1.06)</f>
        <v>190</v>
      </c>
      <c r="L385" s="1"/>
      <c r="M385" s="152">
        <f>10*12</f>
        <v>120</v>
      </c>
      <c r="N385" s="115"/>
      <c r="O385" s="152">
        <f>M385</f>
        <v>120</v>
      </c>
      <c r="P385" s="125"/>
    </row>
    <row r="386" spans="1:16" ht="26.4" x14ac:dyDescent="0.25">
      <c r="A386" s="39" t="s">
        <v>323</v>
      </c>
      <c r="B386" s="6" t="s">
        <v>211</v>
      </c>
      <c r="C386" s="105" t="s">
        <v>699</v>
      </c>
      <c r="D386" s="113" t="s">
        <v>700</v>
      </c>
      <c r="E386" s="105"/>
      <c r="F386" s="123">
        <v>60</v>
      </c>
      <c r="G386" s="44">
        <v>244</v>
      </c>
      <c r="H386" s="44">
        <v>349</v>
      </c>
      <c r="I386" s="123"/>
      <c r="J386" s="114"/>
      <c r="K386" s="12">
        <f>(6*125)*1.06</f>
        <v>795</v>
      </c>
      <c r="L386" s="115"/>
      <c r="M386" s="152"/>
      <c r="N386" s="115"/>
      <c r="O386" s="152"/>
      <c r="P386" s="114"/>
    </row>
    <row r="387" spans="1:16" ht="30.6" x14ac:dyDescent="0.25">
      <c r="A387" s="39" t="s">
        <v>324</v>
      </c>
      <c r="B387" s="6" t="s">
        <v>66</v>
      </c>
      <c r="C387" s="105" t="s">
        <v>699</v>
      </c>
      <c r="D387" s="113" t="s">
        <v>700</v>
      </c>
      <c r="E387" s="105" t="s">
        <v>593</v>
      </c>
      <c r="F387" s="123">
        <v>60</v>
      </c>
      <c r="G387" s="44">
        <v>244</v>
      </c>
      <c r="H387" s="44">
        <v>349</v>
      </c>
      <c r="I387" s="123"/>
      <c r="J387" s="114"/>
      <c r="K387" s="12">
        <f>(6*700)*1.06</f>
        <v>4452</v>
      </c>
      <c r="L387" s="115"/>
      <c r="M387" s="152">
        <v>4400</v>
      </c>
      <c r="N387" s="115"/>
      <c r="O387" s="152">
        <f>M387</f>
        <v>4400</v>
      </c>
      <c r="P387" s="114"/>
    </row>
    <row r="388" spans="1:16" ht="43.5" customHeight="1" x14ac:dyDescent="0.25">
      <c r="A388" s="39" t="s">
        <v>538</v>
      </c>
      <c r="B388" s="6" t="s">
        <v>534</v>
      </c>
      <c r="C388" s="105"/>
      <c r="D388" s="113"/>
      <c r="E388" s="105"/>
      <c r="F388" s="123">
        <v>60</v>
      </c>
      <c r="G388" s="44">
        <v>244</v>
      </c>
      <c r="H388" s="44">
        <v>342</v>
      </c>
      <c r="I388" s="123"/>
      <c r="J388" s="114"/>
      <c r="K388" s="12">
        <v>3000</v>
      </c>
      <c r="L388" s="115"/>
      <c r="M388" s="152"/>
      <c r="N388" s="115"/>
      <c r="O388" s="152"/>
      <c r="P388" s="114"/>
    </row>
    <row r="389" spans="1:16" ht="26.4" x14ac:dyDescent="0.25">
      <c r="A389" s="40" t="s">
        <v>39</v>
      </c>
      <c r="B389" s="5" t="s">
        <v>325</v>
      </c>
      <c r="C389" s="105"/>
      <c r="D389" s="113"/>
      <c r="E389" s="105"/>
      <c r="F389" s="123">
        <v>60</v>
      </c>
      <c r="G389" s="65"/>
      <c r="H389" s="65"/>
      <c r="I389" s="123"/>
      <c r="J389" s="114"/>
      <c r="K389" s="11">
        <f>K390+K391+K392+K393</f>
        <v>8437</v>
      </c>
      <c r="L389" s="115"/>
      <c r="M389" s="152"/>
      <c r="N389" s="115"/>
      <c r="O389" s="152"/>
      <c r="P389" s="114"/>
    </row>
    <row r="390" spans="1:16" ht="30.6" x14ac:dyDescent="0.25">
      <c r="A390" s="39" t="s">
        <v>227</v>
      </c>
      <c r="B390" s="6" t="s">
        <v>66</v>
      </c>
      <c r="C390" s="105" t="s">
        <v>699</v>
      </c>
      <c r="D390" s="113" t="s">
        <v>700</v>
      </c>
      <c r="E390" s="105" t="s">
        <v>593</v>
      </c>
      <c r="F390" s="123">
        <v>60</v>
      </c>
      <c r="G390" s="44">
        <v>244</v>
      </c>
      <c r="H390" s="44">
        <v>349</v>
      </c>
      <c r="I390" s="123"/>
      <c r="J390" s="114"/>
      <c r="K390" s="12">
        <f>(6*700)*1.06</f>
        <v>4452</v>
      </c>
      <c r="L390" s="115"/>
      <c r="M390" s="152">
        <v>4400</v>
      </c>
      <c r="N390" s="115"/>
      <c r="O390" s="152">
        <f>M390</f>
        <v>4400</v>
      </c>
      <c r="P390" s="114"/>
    </row>
    <row r="391" spans="1:16" ht="30.6" x14ac:dyDescent="0.25">
      <c r="A391" s="39" t="s">
        <v>326</v>
      </c>
      <c r="B391" s="6" t="s">
        <v>211</v>
      </c>
      <c r="C391" s="105" t="s">
        <v>699</v>
      </c>
      <c r="D391" s="113" t="s">
        <v>700</v>
      </c>
      <c r="E391" s="105" t="s">
        <v>595</v>
      </c>
      <c r="F391" s="123">
        <v>60</v>
      </c>
      <c r="G391" s="44">
        <v>244</v>
      </c>
      <c r="H391" s="44">
        <v>349</v>
      </c>
      <c r="I391" s="123"/>
      <c r="J391" s="114"/>
      <c r="K391" s="12">
        <f>INT((6*30)*1.06)</f>
        <v>190</v>
      </c>
      <c r="L391" s="115"/>
      <c r="M391" s="152">
        <f>10*12</f>
        <v>120</v>
      </c>
      <c r="N391" s="115"/>
      <c r="O391" s="152">
        <f>M391</f>
        <v>120</v>
      </c>
      <c r="P391" s="114"/>
    </row>
    <row r="392" spans="1:16" ht="26.4" x14ac:dyDescent="0.25">
      <c r="A392" s="39" t="s">
        <v>327</v>
      </c>
      <c r="B392" s="6" t="s">
        <v>211</v>
      </c>
      <c r="C392" s="105" t="s">
        <v>699</v>
      </c>
      <c r="D392" s="113" t="s">
        <v>700</v>
      </c>
      <c r="E392" s="123"/>
      <c r="F392" s="123">
        <v>60</v>
      </c>
      <c r="G392" s="44">
        <v>244</v>
      </c>
      <c r="H392" s="44">
        <v>349</v>
      </c>
      <c r="I392" s="123"/>
      <c r="J392" s="114"/>
      <c r="K392" s="12">
        <f>(6*125)*1.06</f>
        <v>795</v>
      </c>
      <c r="L392" s="115"/>
      <c r="M392" s="167"/>
      <c r="N392" s="115"/>
      <c r="O392" s="167"/>
      <c r="P392" s="114"/>
    </row>
    <row r="393" spans="1:16" ht="40.5" customHeight="1" x14ac:dyDescent="0.25">
      <c r="A393" s="39" t="s">
        <v>539</v>
      </c>
      <c r="B393" s="6" t="s">
        <v>534</v>
      </c>
      <c r="C393" s="105"/>
      <c r="D393" s="113"/>
      <c r="E393" s="105"/>
      <c r="F393" s="123">
        <v>60</v>
      </c>
      <c r="G393" s="44">
        <v>244</v>
      </c>
      <c r="H393" s="44">
        <v>342</v>
      </c>
      <c r="I393" s="123"/>
      <c r="J393" s="114"/>
      <c r="K393" s="12">
        <v>3000</v>
      </c>
      <c r="L393" s="115"/>
      <c r="M393" s="152"/>
      <c r="N393" s="115"/>
      <c r="O393" s="152"/>
      <c r="P393" s="114"/>
    </row>
    <row r="394" spans="1:16" ht="26.4" x14ac:dyDescent="0.25">
      <c r="A394" s="40" t="s">
        <v>124</v>
      </c>
      <c r="B394" s="5" t="s">
        <v>96</v>
      </c>
      <c r="C394" s="105"/>
      <c r="D394" s="113"/>
      <c r="E394" s="105"/>
      <c r="F394" s="123">
        <v>60</v>
      </c>
      <c r="G394" s="65"/>
      <c r="H394" s="65"/>
      <c r="I394" s="105"/>
      <c r="J394" s="114"/>
      <c r="K394" s="11">
        <f>K395+K396+K397</f>
        <v>8618</v>
      </c>
      <c r="L394" s="115"/>
      <c r="M394" s="152"/>
      <c r="N394" s="115"/>
      <c r="O394" s="152"/>
      <c r="P394" s="106"/>
    </row>
    <row r="395" spans="1:16" ht="30.6" x14ac:dyDescent="0.25">
      <c r="A395" s="39" t="s">
        <v>228</v>
      </c>
      <c r="B395" s="6" t="s">
        <v>211</v>
      </c>
      <c r="C395" s="105" t="s">
        <v>699</v>
      </c>
      <c r="D395" s="113" t="s">
        <v>700</v>
      </c>
      <c r="E395" s="105" t="s">
        <v>595</v>
      </c>
      <c r="F395" s="123">
        <v>60</v>
      </c>
      <c r="G395" s="44">
        <v>244</v>
      </c>
      <c r="H395" s="44">
        <v>349</v>
      </c>
      <c r="I395" s="123"/>
      <c r="J395" s="114"/>
      <c r="K395" s="12">
        <f>(10*30)*1.06</f>
        <v>318</v>
      </c>
      <c r="L395" s="115"/>
      <c r="M395" s="152">
        <f>25*12</f>
        <v>300</v>
      </c>
      <c r="N395" s="115"/>
      <c r="O395" s="152">
        <f>M395</f>
        <v>300</v>
      </c>
      <c r="P395" s="114"/>
    </row>
    <row r="396" spans="1:16" ht="30.6" x14ac:dyDescent="0.25">
      <c r="A396" s="39" t="s">
        <v>229</v>
      </c>
      <c r="B396" s="6" t="s">
        <v>66</v>
      </c>
      <c r="C396" s="105" t="s">
        <v>699</v>
      </c>
      <c r="D396" s="113" t="s">
        <v>700</v>
      </c>
      <c r="E396" s="105" t="s">
        <v>593</v>
      </c>
      <c r="F396" s="123">
        <v>60</v>
      </c>
      <c r="G396" s="44">
        <v>244</v>
      </c>
      <c r="H396" s="44">
        <v>349</v>
      </c>
      <c r="I396" s="123"/>
      <c r="J396" s="114"/>
      <c r="K396" s="12">
        <v>5300</v>
      </c>
      <c r="L396" s="115"/>
      <c r="M396" s="152">
        <v>5000</v>
      </c>
      <c r="N396" s="115"/>
      <c r="O396" s="152">
        <f>M396</f>
        <v>5000</v>
      </c>
      <c r="P396" s="114"/>
    </row>
    <row r="397" spans="1:16" ht="26.4" x14ac:dyDescent="0.25">
      <c r="A397" s="39" t="s">
        <v>540</v>
      </c>
      <c r="B397" s="6" t="s">
        <v>534</v>
      </c>
      <c r="C397" s="105"/>
      <c r="D397" s="113"/>
      <c r="E397" s="105"/>
      <c r="F397" s="123">
        <v>60</v>
      </c>
      <c r="G397" s="44">
        <v>244</v>
      </c>
      <c r="H397" s="44">
        <v>342</v>
      </c>
      <c r="I397" s="123"/>
      <c r="J397" s="114"/>
      <c r="K397" s="12">
        <v>3000</v>
      </c>
      <c r="L397" s="115"/>
      <c r="M397" s="152"/>
      <c r="N397" s="115"/>
      <c r="O397" s="152"/>
      <c r="P397" s="114"/>
    </row>
    <row r="398" spans="1:16" ht="26.4" x14ac:dyDescent="0.25">
      <c r="A398" s="40" t="s">
        <v>153</v>
      </c>
      <c r="B398" s="5" t="s">
        <v>98</v>
      </c>
      <c r="C398" s="105"/>
      <c r="D398" s="113"/>
      <c r="E398" s="105"/>
      <c r="F398" s="123">
        <v>60</v>
      </c>
      <c r="G398" s="65"/>
      <c r="H398" s="65"/>
      <c r="I398" s="123"/>
      <c r="J398" s="114"/>
      <c r="K398" s="11">
        <f>K399+K400+K401+K402+K403+K404+K405+K406</f>
        <v>84731</v>
      </c>
      <c r="L398" s="115"/>
      <c r="M398" s="152"/>
      <c r="N398" s="115"/>
      <c r="O398" s="152"/>
      <c r="P398" s="114"/>
    </row>
    <row r="399" spans="1:16" x14ac:dyDescent="0.25">
      <c r="A399" s="39" t="s">
        <v>230</v>
      </c>
      <c r="B399" s="6" t="s">
        <v>66</v>
      </c>
      <c r="C399" s="105" t="s">
        <v>699</v>
      </c>
      <c r="D399" s="113" t="s">
        <v>700</v>
      </c>
      <c r="E399" s="105"/>
      <c r="F399" s="123">
        <v>60</v>
      </c>
      <c r="G399" s="44">
        <v>244</v>
      </c>
      <c r="H399" s="44">
        <v>349</v>
      </c>
      <c r="I399" s="123"/>
      <c r="J399" s="114"/>
      <c r="K399" s="12">
        <f>(42*700)*1.06</f>
        <v>31164</v>
      </c>
      <c r="L399" s="115"/>
      <c r="M399" s="152"/>
      <c r="N399" s="115"/>
      <c r="O399" s="152"/>
      <c r="P399" s="114"/>
    </row>
    <row r="400" spans="1:16" ht="30.6" x14ac:dyDescent="0.25">
      <c r="A400" s="39" t="s">
        <v>328</v>
      </c>
      <c r="B400" s="6" t="s">
        <v>65</v>
      </c>
      <c r="C400" s="105" t="s">
        <v>699</v>
      </c>
      <c r="D400" s="113" t="s">
        <v>700</v>
      </c>
      <c r="E400" s="105" t="s">
        <v>618</v>
      </c>
      <c r="F400" s="123">
        <v>60</v>
      </c>
      <c r="G400" s="44">
        <v>244</v>
      </c>
      <c r="H400" s="44">
        <v>342</v>
      </c>
      <c r="I400" s="123"/>
      <c r="J400" s="114"/>
      <c r="K400" s="12">
        <v>3180</v>
      </c>
      <c r="L400" s="115"/>
      <c r="M400" s="152">
        <f>(32.85+18)*36+(30.6*44)</f>
        <v>3177</v>
      </c>
      <c r="N400" s="115"/>
      <c r="O400" s="152">
        <f>M400</f>
        <v>3177</v>
      </c>
      <c r="P400" s="114"/>
    </row>
    <row r="401" spans="1:16" ht="26.4" x14ac:dyDescent="0.25">
      <c r="A401" s="39" t="s">
        <v>329</v>
      </c>
      <c r="B401" s="6" t="s">
        <v>211</v>
      </c>
      <c r="C401" s="105" t="s">
        <v>699</v>
      </c>
      <c r="D401" s="113" t="s">
        <v>700</v>
      </c>
      <c r="E401" s="105"/>
      <c r="F401" s="123">
        <v>60</v>
      </c>
      <c r="G401" s="44">
        <v>244</v>
      </c>
      <c r="H401" s="44">
        <v>349</v>
      </c>
      <c r="I401" s="105"/>
      <c r="J401" s="114"/>
      <c r="K401" s="12">
        <f>INT((33*125)*1.06)</f>
        <v>4372</v>
      </c>
      <c r="L401" s="115"/>
      <c r="M401" s="167"/>
      <c r="N401" s="115"/>
      <c r="O401" s="167"/>
      <c r="P401" s="114"/>
    </row>
    <row r="402" spans="1:16" ht="51" x14ac:dyDescent="0.25">
      <c r="A402" s="39" t="s">
        <v>330</v>
      </c>
      <c r="B402" s="6" t="s">
        <v>211</v>
      </c>
      <c r="C402" s="105" t="s">
        <v>699</v>
      </c>
      <c r="D402" s="113" t="s">
        <v>700</v>
      </c>
      <c r="E402" s="105" t="s">
        <v>671</v>
      </c>
      <c r="F402" s="123">
        <v>60</v>
      </c>
      <c r="G402" s="44">
        <v>244</v>
      </c>
      <c r="H402" s="44">
        <v>349</v>
      </c>
      <c r="I402" s="123"/>
      <c r="J402" s="114"/>
      <c r="K402" s="12">
        <f>INT((42*30)*1.06)</f>
        <v>1335</v>
      </c>
      <c r="L402" s="115"/>
      <c r="M402" s="152">
        <f>(60*11.5)+500</f>
        <v>1190</v>
      </c>
      <c r="N402" s="115"/>
      <c r="O402" s="152">
        <f>M402</f>
        <v>1190</v>
      </c>
      <c r="P402" s="114"/>
    </row>
    <row r="403" spans="1:16" ht="40.799999999999997" x14ac:dyDescent="0.25">
      <c r="A403" s="39" t="s">
        <v>331</v>
      </c>
      <c r="B403" s="6" t="s">
        <v>40</v>
      </c>
      <c r="C403" s="105" t="s">
        <v>699</v>
      </c>
      <c r="D403" s="113" t="s">
        <v>700</v>
      </c>
      <c r="E403" s="105" t="s">
        <v>587</v>
      </c>
      <c r="F403" s="123">
        <v>60</v>
      </c>
      <c r="G403" s="44">
        <v>244</v>
      </c>
      <c r="H403" s="44">
        <v>226</v>
      </c>
      <c r="I403" s="123"/>
      <c r="J403" s="114"/>
      <c r="K403" s="12">
        <v>3180</v>
      </c>
      <c r="L403" s="115"/>
      <c r="M403" s="152">
        <f>1320*2</f>
        <v>2640</v>
      </c>
      <c r="N403" s="115"/>
      <c r="O403" s="152">
        <v>1320</v>
      </c>
      <c r="P403" s="114"/>
    </row>
    <row r="404" spans="1:16" ht="39.6" x14ac:dyDescent="0.25">
      <c r="A404" s="39" t="s">
        <v>332</v>
      </c>
      <c r="B404" s="6" t="s">
        <v>541</v>
      </c>
      <c r="C404" s="105" t="s">
        <v>699</v>
      </c>
      <c r="D404" s="113" t="s">
        <v>700</v>
      </c>
      <c r="E404" s="105" t="s">
        <v>590</v>
      </c>
      <c r="F404" s="123">
        <v>60</v>
      </c>
      <c r="G404" s="44">
        <v>244</v>
      </c>
      <c r="H404" s="44">
        <v>226</v>
      </c>
      <c r="I404" s="105"/>
      <c r="J404" s="114"/>
      <c r="K404" s="12">
        <f>22000+15000</f>
        <v>37000</v>
      </c>
      <c r="L404" s="115"/>
      <c r="M404" s="152">
        <v>37000</v>
      </c>
      <c r="N404" s="115"/>
      <c r="O404" s="152">
        <v>10650</v>
      </c>
      <c r="P404" s="114"/>
    </row>
    <row r="405" spans="1:16" ht="26.4" x14ac:dyDescent="0.25">
      <c r="A405" s="39" t="s">
        <v>542</v>
      </c>
      <c r="B405" s="6" t="s">
        <v>534</v>
      </c>
      <c r="C405" s="105"/>
      <c r="D405" s="113"/>
      <c r="E405" s="105"/>
      <c r="F405" s="123">
        <v>60</v>
      </c>
      <c r="G405" s="44">
        <v>244</v>
      </c>
      <c r="H405" s="44">
        <v>342</v>
      </c>
      <c r="I405" s="123"/>
      <c r="J405" s="114"/>
      <c r="K405" s="12">
        <v>3000</v>
      </c>
      <c r="L405" s="115"/>
      <c r="M405" s="152"/>
      <c r="N405" s="115"/>
      <c r="O405" s="152"/>
      <c r="P405" s="114"/>
    </row>
    <row r="406" spans="1:16" ht="26.4" x14ac:dyDescent="0.25">
      <c r="A406" s="39" t="s">
        <v>543</v>
      </c>
      <c r="B406" s="6" t="s">
        <v>544</v>
      </c>
      <c r="C406" s="105"/>
      <c r="D406" s="113"/>
      <c r="E406" s="105"/>
      <c r="F406" s="123">
        <v>60</v>
      </c>
      <c r="G406" s="44">
        <v>244</v>
      </c>
      <c r="H406" s="44">
        <v>346</v>
      </c>
      <c r="I406" s="123"/>
      <c r="J406" s="114"/>
      <c r="K406" s="12">
        <v>1500</v>
      </c>
      <c r="L406" s="115"/>
      <c r="M406" s="152"/>
      <c r="N406" s="115"/>
      <c r="O406" s="152"/>
      <c r="P406" s="114"/>
    </row>
    <row r="407" spans="1:16" ht="26.4" x14ac:dyDescent="0.25">
      <c r="A407" s="40" t="s">
        <v>63</v>
      </c>
      <c r="B407" s="5" t="s">
        <v>333</v>
      </c>
      <c r="C407" s="105"/>
      <c r="D407" s="113"/>
      <c r="E407" s="105"/>
      <c r="F407" s="123">
        <v>60</v>
      </c>
      <c r="G407" s="65"/>
      <c r="H407" s="65"/>
      <c r="I407" s="105"/>
      <c r="J407" s="114"/>
      <c r="K407" s="11">
        <f>K408+K409+K410+K411+K412+K413</f>
        <v>39341</v>
      </c>
      <c r="L407" s="115"/>
      <c r="M407" s="152"/>
      <c r="N407" s="115"/>
      <c r="O407" s="152"/>
      <c r="P407" s="114"/>
    </row>
    <row r="408" spans="1:16" ht="30.6" x14ac:dyDescent="0.25">
      <c r="A408" s="39" t="s">
        <v>64</v>
      </c>
      <c r="B408" s="6" t="s">
        <v>211</v>
      </c>
      <c r="C408" s="105" t="s">
        <v>699</v>
      </c>
      <c r="D408" s="113" t="s">
        <v>700</v>
      </c>
      <c r="E408" s="105" t="s">
        <v>595</v>
      </c>
      <c r="F408" s="123">
        <v>60</v>
      </c>
      <c r="G408" s="44">
        <v>244</v>
      </c>
      <c r="H408" s="44">
        <v>349</v>
      </c>
      <c r="I408" s="123"/>
      <c r="J408" s="114"/>
      <c r="K408" s="12">
        <f>INT((24*30)*1.06)</f>
        <v>763</v>
      </c>
      <c r="L408" s="115"/>
      <c r="M408" s="152">
        <f>30*12</f>
        <v>360</v>
      </c>
      <c r="N408" s="115"/>
      <c r="O408" s="152">
        <f>M408</f>
        <v>360</v>
      </c>
      <c r="P408" s="114"/>
    </row>
    <row r="409" spans="1:16" ht="26.4" x14ac:dyDescent="0.25">
      <c r="A409" s="39" t="s">
        <v>125</v>
      </c>
      <c r="B409" s="6" t="s">
        <v>211</v>
      </c>
      <c r="C409" s="105" t="s">
        <v>699</v>
      </c>
      <c r="D409" s="113" t="s">
        <v>700</v>
      </c>
      <c r="E409" s="105"/>
      <c r="F409" s="123">
        <v>60</v>
      </c>
      <c r="G409" s="44">
        <v>244</v>
      </c>
      <c r="H409" s="44">
        <v>349</v>
      </c>
      <c r="I409" s="123"/>
      <c r="J409" s="114"/>
      <c r="K409" s="12">
        <f>(24*125)*1.06</f>
        <v>3180</v>
      </c>
      <c r="L409" s="115"/>
      <c r="M409" s="152"/>
      <c r="N409" s="115"/>
      <c r="O409" s="152"/>
      <c r="P409" s="114"/>
    </row>
    <row r="410" spans="1:16" x14ac:dyDescent="0.25">
      <c r="A410" s="39" t="s">
        <v>126</v>
      </c>
      <c r="B410" s="6" t="s">
        <v>66</v>
      </c>
      <c r="C410" s="105" t="s">
        <v>699</v>
      </c>
      <c r="D410" s="113" t="s">
        <v>700</v>
      </c>
      <c r="E410" s="105"/>
      <c r="F410" s="123">
        <v>60</v>
      </c>
      <c r="G410" s="44">
        <v>244</v>
      </c>
      <c r="H410" s="44">
        <v>349</v>
      </c>
      <c r="I410" s="105"/>
      <c r="J410" s="114"/>
      <c r="K410" s="12">
        <f>(24*700)*1.06</f>
        <v>17808</v>
      </c>
      <c r="L410" s="115"/>
      <c r="M410" s="167"/>
      <c r="N410" s="115"/>
      <c r="O410" s="167"/>
      <c r="P410" s="114"/>
    </row>
    <row r="411" spans="1:16" ht="40.799999999999997" x14ac:dyDescent="0.25">
      <c r="A411" s="39" t="s">
        <v>127</v>
      </c>
      <c r="B411" s="6" t="s">
        <v>40</v>
      </c>
      <c r="C411" s="105" t="s">
        <v>699</v>
      </c>
      <c r="D411" s="113" t="s">
        <v>700</v>
      </c>
      <c r="E411" s="105" t="s">
        <v>587</v>
      </c>
      <c r="F411" s="123">
        <v>60</v>
      </c>
      <c r="G411" s="44">
        <v>244</v>
      </c>
      <c r="H411" s="44">
        <v>226</v>
      </c>
      <c r="I411" s="123"/>
      <c r="J411" s="114"/>
      <c r="K411" s="12">
        <v>1590</v>
      </c>
      <c r="L411" s="115"/>
      <c r="M411" s="152">
        <v>1320</v>
      </c>
      <c r="N411" s="115"/>
      <c r="O411" s="152">
        <v>1320</v>
      </c>
      <c r="P411" s="114"/>
    </row>
    <row r="412" spans="1:16" ht="30.6" x14ac:dyDescent="0.25">
      <c r="A412" s="39" t="s">
        <v>128</v>
      </c>
      <c r="B412" s="6" t="s">
        <v>25</v>
      </c>
      <c r="C412" s="105" t="s">
        <v>699</v>
      </c>
      <c r="D412" s="113" t="s">
        <v>700</v>
      </c>
      <c r="E412" s="105" t="s">
        <v>590</v>
      </c>
      <c r="F412" s="123">
        <v>60</v>
      </c>
      <c r="G412" s="44">
        <v>244</v>
      </c>
      <c r="H412" s="44">
        <v>226</v>
      </c>
      <c r="I412" s="123"/>
      <c r="J412" s="114"/>
      <c r="K412" s="12">
        <v>13000</v>
      </c>
      <c r="L412" s="115"/>
      <c r="M412" s="152">
        <v>9150</v>
      </c>
      <c r="N412" s="115"/>
      <c r="O412" s="152"/>
      <c r="P412" s="114"/>
    </row>
    <row r="413" spans="1:16" ht="26.4" x14ac:dyDescent="0.25">
      <c r="A413" s="39" t="s">
        <v>545</v>
      </c>
      <c r="B413" s="6" t="s">
        <v>534</v>
      </c>
      <c r="C413" s="105"/>
      <c r="D413" s="113"/>
      <c r="E413" s="105"/>
      <c r="F413" s="123">
        <v>60</v>
      </c>
      <c r="G413" s="44">
        <v>244</v>
      </c>
      <c r="H413" s="44">
        <v>342</v>
      </c>
      <c r="I413" s="123"/>
      <c r="J413" s="114"/>
      <c r="K413" s="12">
        <v>3000</v>
      </c>
      <c r="L413" s="115"/>
      <c r="M413" s="152"/>
      <c r="N413" s="115"/>
      <c r="O413" s="152"/>
      <c r="P413" s="114"/>
    </row>
    <row r="414" spans="1:16" ht="26.4" x14ac:dyDescent="0.25">
      <c r="A414" s="40" t="s">
        <v>154</v>
      </c>
      <c r="B414" s="5" t="s">
        <v>99</v>
      </c>
      <c r="C414" s="105"/>
      <c r="D414" s="113"/>
      <c r="E414" s="105"/>
      <c r="F414" s="123">
        <v>60</v>
      </c>
      <c r="G414" s="65"/>
      <c r="H414" s="65"/>
      <c r="I414" s="123"/>
      <c r="J414" s="114"/>
      <c r="K414" s="11">
        <f>K415</f>
        <v>180200</v>
      </c>
      <c r="L414" s="115"/>
      <c r="M414" s="152"/>
      <c r="N414" s="115"/>
      <c r="O414" s="152"/>
      <c r="P414" s="114"/>
    </row>
    <row r="415" spans="1:16" x14ac:dyDescent="0.25">
      <c r="A415" s="39" t="s">
        <v>232</v>
      </c>
      <c r="B415" s="6" t="s">
        <v>174</v>
      </c>
      <c r="C415" s="105" t="s">
        <v>699</v>
      </c>
      <c r="D415" s="113" t="s">
        <v>709</v>
      </c>
      <c r="E415" s="105"/>
      <c r="F415" s="123">
        <v>60</v>
      </c>
      <c r="G415" s="44">
        <v>244</v>
      </c>
      <c r="H415" s="66">
        <v>226</v>
      </c>
      <c r="I415" s="123"/>
      <c r="J415" s="114"/>
      <c r="K415" s="12">
        <v>180200</v>
      </c>
      <c r="L415" s="115"/>
      <c r="M415" s="152"/>
      <c r="N415" s="115"/>
      <c r="O415" s="152"/>
      <c r="P415" s="114"/>
    </row>
    <row r="416" spans="1:16" ht="26.4" x14ac:dyDescent="0.25">
      <c r="A416" s="40" t="s">
        <v>43</v>
      </c>
      <c r="B416" s="5" t="s">
        <v>334</v>
      </c>
      <c r="C416" s="112"/>
      <c r="D416" s="113"/>
      <c r="E416" s="105"/>
      <c r="F416" s="123">
        <v>60</v>
      </c>
      <c r="G416" s="65"/>
      <c r="H416" s="65"/>
      <c r="I416" s="123"/>
      <c r="J416" s="114"/>
      <c r="K416" s="11">
        <f>K417+K418+K419</f>
        <v>6805</v>
      </c>
      <c r="L416" s="115"/>
      <c r="M416" s="152"/>
      <c r="N416" s="115"/>
      <c r="O416" s="152"/>
      <c r="P416" s="114"/>
    </row>
    <row r="417" spans="1:16" ht="30.6" x14ac:dyDescent="0.25">
      <c r="A417" s="39" t="s">
        <v>234</v>
      </c>
      <c r="B417" s="6" t="s">
        <v>211</v>
      </c>
      <c r="C417" s="105" t="s">
        <v>699</v>
      </c>
      <c r="D417" s="113" t="s">
        <v>700</v>
      </c>
      <c r="E417" s="105" t="s">
        <v>595</v>
      </c>
      <c r="F417" s="123">
        <v>60</v>
      </c>
      <c r="G417" s="44">
        <v>244</v>
      </c>
      <c r="H417" s="44">
        <v>349</v>
      </c>
      <c r="I417" s="123"/>
      <c r="J417" s="114"/>
      <c r="K417" s="12">
        <f>INT((3*30)*1.06)</f>
        <v>95</v>
      </c>
      <c r="L417" s="115"/>
      <c r="M417" s="152">
        <f>5*12</f>
        <v>60</v>
      </c>
      <c r="N417" s="115"/>
      <c r="O417" s="152">
        <f>M417</f>
        <v>60</v>
      </c>
      <c r="P417" s="114"/>
    </row>
    <row r="418" spans="1:16" ht="30.6" x14ac:dyDescent="0.25">
      <c r="A418" s="39" t="s">
        <v>235</v>
      </c>
      <c r="B418" s="6" t="s">
        <v>66</v>
      </c>
      <c r="C418" s="105" t="s">
        <v>699</v>
      </c>
      <c r="D418" s="113" t="s">
        <v>700</v>
      </c>
      <c r="E418" s="105" t="s">
        <v>593</v>
      </c>
      <c r="F418" s="123">
        <v>60</v>
      </c>
      <c r="G418" s="44">
        <v>244</v>
      </c>
      <c r="H418" s="44">
        <v>349</v>
      </c>
      <c r="I418" s="123"/>
      <c r="J418" s="114"/>
      <c r="K418" s="12">
        <f>(5*700)*1.06</f>
        <v>3710</v>
      </c>
      <c r="L418" s="115"/>
      <c r="M418" s="152">
        <v>3500</v>
      </c>
      <c r="N418" s="115"/>
      <c r="O418" s="152">
        <f>M418</f>
        <v>3500</v>
      </c>
      <c r="P418" s="114"/>
    </row>
    <row r="419" spans="1:16" ht="43.5" customHeight="1" x14ac:dyDescent="0.25">
      <c r="A419" s="39" t="s">
        <v>546</v>
      </c>
      <c r="B419" s="6" t="s">
        <v>534</v>
      </c>
      <c r="C419" s="105"/>
      <c r="D419" s="113"/>
      <c r="E419" s="105"/>
      <c r="F419" s="123">
        <v>60</v>
      </c>
      <c r="G419" s="44">
        <v>244</v>
      </c>
      <c r="H419" s="44">
        <v>342</v>
      </c>
      <c r="I419" s="105"/>
      <c r="J419" s="114"/>
      <c r="K419" s="12">
        <v>3000</v>
      </c>
      <c r="L419" s="115"/>
      <c r="M419" s="152"/>
      <c r="N419" s="115"/>
      <c r="O419" s="152"/>
      <c r="P419" s="114"/>
    </row>
    <row r="420" spans="1:16" ht="39.6" x14ac:dyDescent="0.25">
      <c r="A420" s="40" t="s">
        <v>45</v>
      </c>
      <c r="B420" s="5" t="s">
        <v>335</v>
      </c>
      <c r="C420" s="105"/>
      <c r="D420" s="113"/>
      <c r="E420" s="105"/>
      <c r="F420" s="123">
        <v>60</v>
      </c>
      <c r="G420" s="65"/>
      <c r="H420" s="65"/>
      <c r="I420" s="105"/>
      <c r="J420" s="114"/>
      <c r="K420" s="11">
        <f>K421+K422+K423</f>
        <v>16313</v>
      </c>
      <c r="L420" s="115"/>
      <c r="M420" s="152"/>
      <c r="N420" s="115"/>
      <c r="O420" s="152"/>
      <c r="P420" s="114"/>
    </row>
    <row r="421" spans="1:16" x14ac:dyDescent="0.25">
      <c r="A421" s="39" t="s">
        <v>237</v>
      </c>
      <c r="B421" s="6" t="s">
        <v>66</v>
      </c>
      <c r="C421" s="105" t="s">
        <v>699</v>
      </c>
      <c r="D421" s="113" t="s">
        <v>700</v>
      </c>
      <c r="E421" s="105"/>
      <c r="F421" s="123">
        <v>60</v>
      </c>
      <c r="G421" s="44">
        <v>244</v>
      </c>
      <c r="H421" s="44">
        <v>349</v>
      </c>
      <c r="I421" s="123"/>
      <c r="J421" s="114"/>
      <c r="K421" s="12">
        <f>(18*700)*1.06</f>
        <v>13356</v>
      </c>
      <c r="L421" s="115"/>
      <c r="M421" s="152"/>
      <c r="N421" s="115"/>
      <c r="O421" s="152"/>
      <c r="P421" s="114"/>
    </row>
    <row r="422" spans="1:16" ht="26.4" x14ac:dyDescent="0.25">
      <c r="A422" s="39" t="s">
        <v>238</v>
      </c>
      <c r="B422" s="6" t="s">
        <v>211</v>
      </c>
      <c r="C422" s="105" t="s">
        <v>699</v>
      </c>
      <c r="D422" s="113" t="s">
        <v>700</v>
      </c>
      <c r="E422" s="105"/>
      <c r="F422" s="123">
        <v>60</v>
      </c>
      <c r="G422" s="44">
        <v>244</v>
      </c>
      <c r="H422" s="44">
        <v>349</v>
      </c>
      <c r="I422" s="123"/>
      <c r="J422" s="114"/>
      <c r="K422" s="12">
        <f>(18*125)*1.06</f>
        <v>2385</v>
      </c>
      <c r="L422" s="115"/>
      <c r="M422" s="152"/>
      <c r="N422" s="115"/>
      <c r="O422" s="152"/>
      <c r="P422" s="114"/>
    </row>
    <row r="423" spans="1:16" ht="30.6" x14ac:dyDescent="0.25">
      <c r="A423" s="39" t="s">
        <v>336</v>
      </c>
      <c r="B423" s="6" t="s">
        <v>211</v>
      </c>
      <c r="C423" s="105" t="s">
        <v>699</v>
      </c>
      <c r="D423" s="113" t="s">
        <v>700</v>
      </c>
      <c r="E423" s="105" t="s">
        <v>595</v>
      </c>
      <c r="F423" s="123">
        <v>60</v>
      </c>
      <c r="G423" s="44">
        <v>244</v>
      </c>
      <c r="H423" s="44">
        <v>349</v>
      </c>
      <c r="I423" s="105"/>
      <c r="J423" s="114"/>
      <c r="K423" s="12">
        <f>INT((18*30)*1.06)</f>
        <v>572</v>
      </c>
      <c r="L423" s="115"/>
      <c r="M423" s="152">
        <f>25*12</f>
        <v>300</v>
      </c>
      <c r="N423" s="115"/>
      <c r="O423" s="152">
        <f>M423</f>
        <v>300</v>
      </c>
      <c r="P423" s="114"/>
    </row>
    <row r="424" spans="1:16" ht="39.75" customHeight="1" x14ac:dyDescent="0.25">
      <c r="A424" s="61" t="s">
        <v>129</v>
      </c>
      <c r="B424" s="80" t="s">
        <v>175</v>
      </c>
      <c r="C424" s="105"/>
      <c r="D424" s="113"/>
      <c r="E424" s="105"/>
      <c r="F424" s="123">
        <v>60</v>
      </c>
      <c r="G424" s="28"/>
      <c r="H424" s="28"/>
      <c r="I424" s="105"/>
      <c r="J424" s="114"/>
      <c r="K424" s="11">
        <f>K425+K426+K427+K428</f>
        <v>247892</v>
      </c>
      <c r="L424" s="115"/>
      <c r="M424" s="152"/>
      <c r="N424" s="115"/>
      <c r="O424" s="152"/>
      <c r="P424" s="114"/>
    </row>
    <row r="425" spans="1:16" ht="26.4" x14ac:dyDescent="0.25">
      <c r="A425" s="41" t="s">
        <v>266</v>
      </c>
      <c r="B425" s="6" t="s">
        <v>131</v>
      </c>
      <c r="C425" s="105" t="s">
        <v>699</v>
      </c>
      <c r="D425" s="113" t="s">
        <v>709</v>
      </c>
      <c r="E425" s="123"/>
      <c r="F425" s="123">
        <v>60</v>
      </c>
      <c r="G425" s="67">
        <v>244</v>
      </c>
      <c r="H425" s="67">
        <v>226</v>
      </c>
      <c r="I425" s="123"/>
      <c r="J425" s="114"/>
      <c r="K425" s="12">
        <v>212000</v>
      </c>
      <c r="L425" s="115"/>
      <c r="M425" s="167"/>
      <c r="N425" s="115"/>
      <c r="O425" s="167"/>
      <c r="P425" s="114"/>
    </row>
    <row r="426" spans="1:16" ht="40.799999999999997" x14ac:dyDescent="0.25">
      <c r="A426" s="39" t="s">
        <v>272</v>
      </c>
      <c r="B426" s="6" t="s">
        <v>100</v>
      </c>
      <c r="C426" s="105" t="s">
        <v>699</v>
      </c>
      <c r="D426" s="113" t="s">
        <v>700</v>
      </c>
      <c r="E426" s="105" t="s">
        <v>587</v>
      </c>
      <c r="F426" s="123">
        <v>60</v>
      </c>
      <c r="G426" s="44">
        <v>244</v>
      </c>
      <c r="H426" s="44">
        <v>226</v>
      </c>
      <c r="I426" s="123"/>
      <c r="J426" s="114"/>
      <c r="K426" s="12">
        <f>(1600*2)*1.06</f>
        <v>3392</v>
      </c>
      <c r="L426" s="115"/>
      <c r="M426" s="152">
        <f>1320*2</f>
        <v>2640</v>
      </c>
      <c r="N426" s="115"/>
      <c r="O426" s="152"/>
      <c r="P426" s="114"/>
    </row>
    <row r="427" spans="1:16" ht="30.6" x14ac:dyDescent="0.25">
      <c r="A427" s="39" t="s">
        <v>337</v>
      </c>
      <c r="B427" s="6" t="s">
        <v>25</v>
      </c>
      <c r="C427" s="105" t="s">
        <v>699</v>
      </c>
      <c r="D427" s="113" t="s">
        <v>700</v>
      </c>
      <c r="E427" s="105" t="s">
        <v>590</v>
      </c>
      <c r="F427" s="123">
        <v>60</v>
      </c>
      <c r="G427" s="44">
        <v>244</v>
      </c>
      <c r="H427" s="44">
        <v>226</v>
      </c>
      <c r="I427" s="123"/>
      <c r="J427" s="114"/>
      <c r="K427" s="12">
        <v>26500</v>
      </c>
      <c r="L427" s="115"/>
      <c r="M427" s="152">
        <v>26500</v>
      </c>
      <c r="N427" s="115"/>
      <c r="O427" s="152"/>
      <c r="P427" s="114"/>
    </row>
    <row r="428" spans="1:16" ht="26.4" x14ac:dyDescent="0.25">
      <c r="A428" s="39" t="s">
        <v>351</v>
      </c>
      <c r="B428" s="6" t="s">
        <v>534</v>
      </c>
      <c r="C428" s="105"/>
      <c r="D428" s="113"/>
      <c r="E428" s="105"/>
      <c r="F428" s="123">
        <v>60</v>
      </c>
      <c r="G428" s="44">
        <v>244</v>
      </c>
      <c r="H428" s="44">
        <v>342</v>
      </c>
      <c r="I428" s="123"/>
      <c r="J428" s="114"/>
      <c r="K428" s="12">
        <v>6000</v>
      </c>
      <c r="L428" s="115"/>
      <c r="M428" s="152"/>
      <c r="N428" s="115"/>
      <c r="O428" s="152"/>
      <c r="P428" s="114"/>
    </row>
    <row r="429" spans="1:16" ht="26.4" x14ac:dyDescent="0.25">
      <c r="A429" s="61" t="s">
        <v>155</v>
      </c>
      <c r="B429" s="5" t="s">
        <v>101</v>
      </c>
      <c r="C429" s="105"/>
      <c r="D429" s="113"/>
      <c r="E429" s="105"/>
      <c r="F429" s="123">
        <v>60</v>
      </c>
      <c r="G429" s="28"/>
      <c r="H429" s="28"/>
      <c r="I429" s="123"/>
      <c r="J429" s="114"/>
      <c r="K429" s="11">
        <f>K430+K431+K432+K433</f>
        <v>19313</v>
      </c>
      <c r="L429" s="115"/>
      <c r="M429" s="152"/>
      <c r="N429" s="115"/>
      <c r="O429" s="152"/>
      <c r="P429" s="114"/>
    </row>
    <row r="430" spans="1:16" ht="30.6" x14ac:dyDescent="0.25">
      <c r="A430" s="39" t="s">
        <v>390</v>
      </c>
      <c r="B430" s="6" t="s">
        <v>211</v>
      </c>
      <c r="C430" s="105" t="s">
        <v>699</v>
      </c>
      <c r="D430" s="113" t="s">
        <v>700</v>
      </c>
      <c r="E430" s="105" t="s">
        <v>595</v>
      </c>
      <c r="F430" s="123">
        <v>60</v>
      </c>
      <c r="G430" s="44">
        <v>244</v>
      </c>
      <c r="H430" s="44">
        <v>349</v>
      </c>
      <c r="I430" s="105"/>
      <c r="J430" s="114"/>
      <c r="K430" s="12">
        <f>INT((18*30)*1.06)</f>
        <v>572</v>
      </c>
      <c r="L430" s="115"/>
      <c r="M430" s="152">
        <f>25*12</f>
        <v>300</v>
      </c>
      <c r="N430" s="115"/>
      <c r="O430" s="152">
        <f>M430</f>
        <v>300</v>
      </c>
      <c r="P430" s="114"/>
    </row>
    <row r="431" spans="1:16" ht="26.4" x14ac:dyDescent="0.25">
      <c r="A431" s="39" t="s">
        <v>391</v>
      </c>
      <c r="B431" s="6" t="s">
        <v>211</v>
      </c>
      <c r="C431" s="105" t="s">
        <v>699</v>
      </c>
      <c r="D431" s="113" t="s">
        <v>700</v>
      </c>
      <c r="E431" s="105"/>
      <c r="F431" s="123">
        <v>60</v>
      </c>
      <c r="G431" s="44">
        <v>244</v>
      </c>
      <c r="H431" s="44">
        <v>349</v>
      </c>
      <c r="I431" s="123"/>
      <c r="J431" s="114"/>
      <c r="K431" s="12">
        <f>(18*125)*1.06</f>
        <v>2385</v>
      </c>
      <c r="L431" s="115"/>
      <c r="M431" s="167"/>
      <c r="N431" s="115"/>
      <c r="O431" s="167"/>
      <c r="P431" s="114"/>
    </row>
    <row r="432" spans="1:16" ht="30.6" x14ac:dyDescent="0.25">
      <c r="A432" s="39" t="s">
        <v>547</v>
      </c>
      <c r="B432" s="6" t="s">
        <v>66</v>
      </c>
      <c r="C432" s="105" t="s">
        <v>699</v>
      </c>
      <c r="D432" s="113" t="s">
        <v>700</v>
      </c>
      <c r="E432" s="105" t="s">
        <v>593</v>
      </c>
      <c r="F432" s="123">
        <v>60</v>
      </c>
      <c r="G432" s="44">
        <v>244</v>
      </c>
      <c r="H432" s="44">
        <v>349</v>
      </c>
      <c r="I432" s="105"/>
      <c r="J432" s="114"/>
      <c r="K432" s="12">
        <f>(18*700)*1.06</f>
        <v>13356</v>
      </c>
      <c r="L432" s="115"/>
      <c r="M432" s="152">
        <v>13200</v>
      </c>
      <c r="N432" s="115"/>
      <c r="O432" s="152">
        <f>M432</f>
        <v>13200</v>
      </c>
      <c r="P432" s="114"/>
    </row>
    <row r="433" spans="1:16" ht="26.4" x14ac:dyDescent="0.25">
      <c r="A433" s="39" t="s">
        <v>548</v>
      </c>
      <c r="B433" s="6" t="s">
        <v>534</v>
      </c>
      <c r="C433" s="112"/>
      <c r="D433" s="113"/>
      <c r="E433" s="105"/>
      <c r="F433" s="123">
        <v>60</v>
      </c>
      <c r="G433" s="44">
        <v>244</v>
      </c>
      <c r="H433" s="44">
        <v>342</v>
      </c>
      <c r="I433" s="123"/>
      <c r="J433" s="114"/>
      <c r="K433" s="12">
        <v>3000</v>
      </c>
      <c r="L433" s="115"/>
      <c r="M433" s="167"/>
      <c r="N433" s="115"/>
      <c r="O433" s="167"/>
      <c r="P433" s="114"/>
    </row>
    <row r="434" spans="1:16" ht="26.4" x14ac:dyDescent="0.25">
      <c r="A434" s="61" t="s">
        <v>46</v>
      </c>
      <c r="B434" s="5" t="s">
        <v>102</v>
      </c>
      <c r="C434" s="166"/>
      <c r="D434" s="113"/>
      <c r="E434" s="123"/>
      <c r="F434" s="123">
        <v>60</v>
      </c>
      <c r="G434" s="28"/>
      <c r="H434" s="28"/>
      <c r="I434" s="123"/>
      <c r="J434" s="114"/>
      <c r="K434" s="11">
        <f>K435+K436+K437+K438+K439+K440+K441+K442</f>
        <v>80141</v>
      </c>
      <c r="L434" s="115"/>
      <c r="M434" s="167"/>
      <c r="N434" s="115"/>
      <c r="O434" s="167"/>
      <c r="P434" s="114"/>
    </row>
    <row r="435" spans="1:16" x14ac:dyDescent="0.25">
      <c r="A435" s="39" t="s">
        <v>392</v>
      </c>
      <c r="B435" s="6" t="s">
        <v>66</v>
      </c>
      <c r="C435" s="105" t="s">
        <v>699</v>
      </c>
      <c r="D435" s="113" t="s">
        <v>700</v>
      </c>
      <c r="E435" s="105"/>
      <c r="F435" s="123">
        <v>60</v>
      </c>
      <c r="G435" s="44">
        <v>244</v>
      </c>
      <c r="H435" s="44">
        <v>349</v>
      </c>
      <c r="I435" s="105"/>
      <c r="J435" s="114"/>
      <c r="K435" s="12">
        <f>(42*700)*1.06</f>
        <v>31164</v>
      </c>
      <c r="L435" s="115"/>
      <c r="M435" s="167"/>
      <c r="N435" s="115"/>
      <c r="O435" s="167"/>
      <c r="P435" s="114"/>
    </row>
    <row r="436" spans="1:16" ht="30.6" x14ac:dyDescent="0.25">
      <c r="A436" s="39" t="s">
        <v>549</v>
      </c>
      <c r="B436" s="6" t="s">
        <v>65</v>
      </c>
      <c r="C436" s="105" t="s">
        <v>699</v>
      </c>
      <c r="D436" s="113" t="s">
        <v>700</v>
      </c>
      <c r="E436" s="105" t="s">
        <v>618</v>
      </c>
      <c r="F436" s="123">
        <v>60</v>
      </c>
      <c r="G436" s="44">
        <v>244</v>
      </c>
      <c r="H436" s="44">
        <v>342</v>
      </c>
      <c r="I436" s="123"/>
      <c r="J436" s="114"/>
      <c r="K436" s="12">
        <v>3180</v>
      </c>
      <c r="L436" s="115"/>
      <c r="M436" s="152">
        <f>(32.85+18)*36+(31.5*40)</f>
        <v>3090.6000000000004</v>
      </c>
      <c r="N436" s="115"/>
      <c r="O436" s="152">
        <f>M436</f>
        <v>3090.6000000000004</v>
      </c>
      <c r="P436" s="114"/>
    </row>
    <row r="437" spans="1:16" ht="26.4" x14ac:dyDescent="0.25">
      <c r="A437" s="39" t="s">
        <v>550</v>
      </c>
      <c r="B437" s="6" t="s">
        <v>211</v>
      </c>
      <c r="C437" s="105" t="s">
        <v>699</v>
      </c>
      <c r="D437" s="113" t="s">
        <v>700</v>
      </c>
      <c r="E437" s="105"/>
      <c r="F437" s="123">
        <v>60</v>
      </c>
      <c r="G437" s="44">
        <v>244</v>
      </c>
      <c r="H437" s="44">
        <v>349</v>
      </c>
      <c r="I437" s="123"/>
      <c r="J437" s="114"/>
      <c r="K437" s="12">
        <f>INT((33*125)*1.06)</f>
        <v>4372</v>
      </c>
      <c r="L437" s="115"/>
      <c r="M437" s="167"/>
      <c r="N437" s="115"/>
      <c r="O437" s="167"/>
      <c r="P437" s="114"/>
    </row>
    <row r="438" spans="1:16" ht="30.6" x14ac:dyDescent="0.25">
      <c r="A438" s="39" t="s">
        <v>551</v>
      </c>
      <c r="B438" s="6" t="s">
        <v>211</v>
      </c>
      <c r="C438" s="105" t="s">
        <v>699</v>
      </c>
      <c r="D438" s="113" t="s">
        <v>700</v>
      </c>
      <c r="E438" s="105" t="s">
        <v>595</v>
      </c>
      <c r="F438" s="123">
        <v>60</v>
      </c>
      <c r="G438" s="44">
        <v>244</v>
      </c>
      <c r="H438" s="44">
        <v>349</v>
      </c>
      <c r="I438" s="123"/>
      <c r="J438" s="114"/>
      <c r="K438" s="12">
        <f>INT((42*30)*1.06)</f>
        <v>1335</v>
      </c>
      <c r="L438" s="115"/>
      <c r="M438" s="152">
        <f>60*11.5</f>
        <v>690</v>
      </c>
      <c r="N438" s="115"/>
      <c r="O438" s="152">
        <f>M438</f>
        <v>690</v>
      </c>
      <c r="P438" s="114"/>
    </row>
    <row r="439" spans="1:16" ht="40.799999999999997" x14ac:dyDescent="0.25">
      <c r="A439" s="39" t="s">
        <v>552</v>
      </c>
      <c r="B439" s="6" t="s">
        <v>40</v>
      </c>
      <c r="C439" s="105" t="s">
        <v>699</v>
      </c>
      <c r="D439" s="113" t="s">
        <v>700</v>
      </c>
      <c r="E439" s="105" t="s">
        <v>587</v>
      </c>
      <c r="F439" s="123">
        <v>60</v>
      </c>
      <c r="G439" s="44">
        <v>244</v>
      </c>
      <c r="H439" s="44">
        <v>226</v>
      </c>
      <c r="I439" s="123"/>
      <c r="J439" s="114"/>
      <c r="K439" s="12">
        <v>1590</v>
      </c>
      <c r="L439" s="115"/>
      <c r="M439" s="152">
        <v>1320</v>
      </c>
      <c r="N439" s="115"/>
      <c r="O439" s="152"/>
      <c r="P439" s="114"/>
    </row>
    <row r="440" spans="1:16" ht="39.6" x14ac:dyDescent="0.25">
      <c r="A440" s="39" t="s">
        <v>553</v>
      </c>
      <c r="B440" s="6" t="s">
        <v>541</v>
      </c>
      <c r="C440" s="105" t="s">
        <v>699</v>
      </c>
      <c r="D440" s="113" t="s">
        <v>700</v>
      </c>
      <c r="E440" s="105" t="s">
        <v>590</v>
      </c>
      <c r="F440" s="123">
        <v>60</v>
      </c>
      <c r="G440" s="35">
        <v>244</v>
      </c>
      <c r="H440" s="35">
        <v>226</v>
      </c>
      <c r="I440" s="123"/>
      <c r="J440" s="114"/>
      <c r="K440" s="12">
        <f>19000+15000</f>
        <v>34000</v>
      </c>
      <c r="L440" s="167"/>
      <c r="M440" s="152">
        <v>34000</v>
      </c>
      <c r="N440" s="115"/>
      <c r="O440" s="167"/>
      <c r="P440" s="114"/>
    </row>
    <row r="441" spans="1:16" ht="26.4" x14ac:dyDescent="0.25">
      <c r="A441" s="39" t="s">
        <v>554</v>
      </c>
      <c r="B441" s="6" t="s">
        <v>534</v>
      </c>
      <c r="C441" s="105"/>
      <c r="D441" s="113"/>
      <c r="E441" s="105"/>
      <c r="F441" s="123">
        <v>60</v>
      </c>
      <c r="G441" s="44">
        <v>244</v>
      </c>
      <c r="H441" s="44">
        <v>342</v>
      </c>
      <c r="I441" s="123"/>
      <c r="J441" s="114"/>
      <c r="K441" s="12">
        <v>3000</v>
      </c>
      <c r="L441" s="115"/>
      <c r="M441" s="152"/>
      <c r="N441" s="115"/>
      <c r="O441" s="152"/>
      <c r="P441" s="114"/>
    </row>
    <row r="442" spans="1:16" ht="26.4" x14ac:dyDescent="0.25">
      <c r="A442" s="39" t="s">
        <v>555</v>
      </c>
      <c r="B442" s="6" t="s">
        <v>544</v>
      </c>
      <c r="C442" s="105"/>
      <c r="D442" s="113"/>
      <c r="E442" s="105"/>
      <c r="F442" s="123">
        <v>60</v>
      </c>
      <c r="G442" s="44">
        <v>244</v>
      </c>
      <c r="H442" s="44">
        <v>346</v>
      </c>
      <c r="I442" s="123"/>
      <c r="J442" s="114"/>
      <c r="K442" s="12">
        <v>1500</v>
      </c>
      <c r="L442" s="115"/>
      <c r="M442" s="152"/>
      <c r="N442" s="115"/>
      <c r="O442" s="152"/>
      <c r="P442" s="114"/>
    </row>
    <row r="443" spans="1:16" ht="26.4" x14ac:dyDescent="0.25">
      <c r="A443" s="61" t="s">
        <v>47</v>
      </c>
      <c r="B443" s="5" t="s">
        <v>103</v>
      </c>
      <c r="C443" s="105"/>
      <c r="D443" s="113"/>
      <c r="E443" s="105"/>
      <c r="F443" s="123">
        <v>60</v>
      </c>
      <c r="G443" s="28"/>
      <c r="H443" s="28"/>
      <c r="I443" s="123"/>
      <c r="J443" s="114"/>
      <c r="K443" s="11">
        <f>SUM(K444:K445)</f>
        <v>11978</v>
      </c>
      <c r="L443" s="115"/>
      <c r="M443" s="152"/>
      <c r="N443" s="115"/>
      <c r="O443" s="152"/>
      <c r="P443" s="114"/>
    </row>
    <row r="444" spans="1:16" ht="30.6" x14ac:dyDescent="0.25">
      <c r="A444" s="39" t="s">
        <v>393</v>
      </c>
      <c r="B444" s="6" t="s">
        <v>66</v>
      </c>
      <c r="C444" s="105" t="s">
        <v>699</v>
      </c>
      <c r="D444" s="113" t="s">
        <v>700</v>
      </c>
      <c r="E444" s="105" t="s">
        <v>593</v>
      </c>
      <c r="F444" s="123">
        <v>60</v>
      </c>
      <c r="G444" s="44">
        <v>244</v>
      </c>
      <c r="H444" s="44">
        <v>349</v>
      </c>
      <c r="I444" s="123"/>
      <c r="J444" s="114"/>
      <c r="K444" s="12">
        <f>(9*700)*1.06</f>
        <v>6678</v>
      </c>
      <c r="L444" s="167"/>
      <c r="M444" s="152">
        <v>6600</v>
      </c>
      <c r="N444" s="167"/>
      <c r="O444" s="152">
        <f>M444</f>
        <v>6600</v>
      </c>
      <c r="P444" s="114"/>
    </row>
    <row r="445" spans="1:16" ht="26.4" x14ac:dyDescent="0.25">
      <c r="A445" s="39" t="s">
        <v>556</v>
      </c>
      <c r="B445" s="6" t="s">
        <v>256</v>
      </c>
      <c r="C445" s="105" t="s">
        <v>699</v>
      </c>
      <c r="D445" s="113" t="s">
        <v>700</v>
      </c>
      <c r="E445" s="105"/>
      <c r="F445" s="123">
        <v>60</v>
      </c>
      <c r="G445" s="44">
        <v>244</v>
      </c>
      <c r="H445" s="44">
        <v>349</v>
      </c>
      <c r="I445" s="123"/>
      <c r="J445" s="114"/>
      <c r="K445" s="12">
        <v>5300</v>
      </c>
      <c r="L445" s="152"/>
      <c r="M445" s="152"/>
      <c r="N445" s="152"/>
      <c r="O445" s="152"/>
      <c r="P445" s="114"/>
    </row>
    <row r="446" spans="1:16" ht="26.4" x14ac:dyDescent="0.25">
      <c r="A446" s="61" t="s">
        <v>48</v>
      </c>
      <c r="B446" s="5" t="s">
        <v>104</v>
      </c>
      <c r="C446" s="105"/>
      <c r="D446" s="113"/>
      <c r="E446" s="105"/>
      <c r="F446" s="123">
        <v>60</v>
      </c>
      <c r="G446" s="28"/>
      <c r="H446" s="28"/>
      <c r="I446" s="123"/>
      <c r="J446" s="114"/>
      <c r="K446" s="11">
        <f>K447+K448+K449+K450+K451+K452+K453+K454+K455</f>
        <v>136318</v>
      </c>
      <c r="L446" s="152"/>
      <c r="M446" s="152"/>
      <c r="N446" s="152"/>
      <c r="O446" s="152"/>
      <c r="P446" s="114"/>
    </row>
    <row r="447" spans="1:16" ht="26.4" x14ac:dyDescent="0.25">
      <c r="A447" s="39" t="s">
        <v>394</v>
      </c>
      <c r="B447" s="6" t="s">
        <v>535</v>
      </c>
      <c r="C447" s="105" t="s">
        <v>699</v>
      </c>
      <c r="D447" s="113" t="s">
        <v>700</v>
      </c>
      <c r="E447" s="105"/>
      <c r="F447" s="123">
        <v>60</v>
      </c>
      <c r="G447" s="44">
        <v>244</v>
      </c>
      <c r="H447" s="44">
        <v>349</v>
      </c>
      <c r="I447" s="123"/>
      <c r="J447" s="114"/>
      <c r="K447" s="12">
        <f>(60*700)*1.06+(1500*18)</f>
        <v>71520</v>
      </c>
      <c r="L447" s="115"/>
      <c r="M447" s="152"/>
      <c r="N447" s="115"/>
      <c r="O447" s="152"/>
      <c r="P447" s="114"/>
    </row>
    <row r="448" spans="1:16" ht="30.6" x14ac:dyDescent="0.25">
      <c r="A448" s="39" t="s">
        <v>557</v>
      </c>
      <c r="B448" s="6" t="s">
        <v>65</v>
      </c>
      <c r="C448" s="105" t="s">
        <v>699</v>
      </c>
      <c r="D448" s="113" t="s">
        <v>700</v>
      </c>
      <c r="E448" s="105" t="s">
        <v>618</v>
      </c>
      <c r="F448" s="123">
        <v>60</v>
      </c>
      <c r="G448" s="44">
        <v>244</v>
      </c>
      <c r="H448" s="44">
        <v>342</v>
      </c>
      <c r="I448" s="123"/>
      <c r="J448" s="114"/>
      <c r="K448" s="12">
        <v>3180</v>
      </c>
      <c r="L448" s="115"/>
      <c r="M448" s="152">
        <f>(32.85+18)*36+(31.5*20)+(36*14)+(30.6*6)</f>
        <v>3148.2000000000003</v>
      </c>
      <c r="N448" s="115"/>
      <c r="O448" s="152">
        <f>M448</f>
        <v>3148.2000000000003</v>
      </c>
      <c r="P448" s="114"/>
    </row>
    <row r="449" spans="1:16" ht="26.4" x14ac:dyDescent="0.25">
      <c r="A449" s="39" t="s">
        <v>558</v>
      </c>
      <c r="B449" s="6" t="s">
        <v>211</v>
      </c>
      <c r="C449" s="105" t="s">
        <v>699</v>
      </c>
      <c r="D449" s="113" t="s">
        <v>700</v>
      </c>
      <c r="E449" s="105"/>
      <c r="F449" s="123">
        <v>60</v>
      </c>
      <c r="G449" s="44">
        <v>244</v>
      </c>
      <c r="H449" s="44">
        <v>349</v>
      </c>
      <c r="I449" s="123"/>
      <c r="J449" s="114"/>
      <c r="K449" s="12">
        <f>(60*125)*1.06</f>
        <v>7950</v>
      </c>
      <c r="L449" s="115"/>
      <c r="M449" s="152"/>
      <c r="N449" s="115"/>
      <c r="O449" s="152"/>
      <c r="P449" s="114"/>
    </row>
    <row r="450" spans="1:16" ht="30.6" x14ac:dyDescent="0.25">
      <c r="A450" s="39" t="s">
        <v>559</v>
      </c>
      <c r="B450" s="6" t="s">
        <v>211</v>
      </c>
      <c r="C450" s="105" t="s">
        <v>699</v>
      </c>
      <c r="D450" s="113" t="s">
        <v>700</v>
      </c>
      <c r="E450" s="105" t="s">
        <v>595</v>
      </c>
      <c r="F450" s="123">
        <v>60</v>
      </c>
      <c r="G450" s="44">
        <v>244</v>
      </c>
      <c r="H450" s="44">
        <v>349</v>
      </c>
      <c r="I450" s="123"/>
      <c r="J450" s="114"/>
      <c r="K450" s="12">
        <f>(60*30)*1.06</f>
        <v>1908</v>
      </c>
      <c r="L450" s="115"/>
      <c r="M450" s="152">
        <f>60*11.5</f>
        <v>690</v>
      </c>
      <c r="N450" s="115"/>
      <c r="O450" s="152">
        <f>M450</f>
        <v>690</v>
      </c>
      <c r="P450" s="114"/>
    </row>
    <row r="451" spans="1:16" ht="26.4" x14ac:dyDescent="0.25">
      <c r="A451" s="39" t="s">
        <v>560</v>
      </c>
      <c r="B451" s="6" t="s">
        <v>211</v>
      </c>
      <c r="C451" s="105" t="s">
        <v>699</v>
      </c>
      <c r="D451" s="113" t="s">
        <v>700</v>
      </c>
      <c r="E451" s="123"/>
      <c r="F451" s="123">
        <v>60</v>
      </c>
      <c r="G451" s="44">
        <v>244</v>
      </c>
      <c r="H451" s="44">
        <v>349</v>
      </c>
      <c r="I451" s="123"/>
      <c r="J451" s="114"/>
      <c r="K451" s="12">
        <f>(18*1000)*1.06</f>
        <v>19080</v>
      </c>
      <c r="L451" s="115"/>
      <c r="M451" s="152"/>
      <c r="N451" s="115"/>
      <c r="O451" s="152"/>
      <c r="P451" s="114"/>
    </row>
    <row r="452" spans="1:16" ht="40.799999999999997" x14ac:dyDescent="0.25">
      <c r="A452" s="39" t="s">
        <v>561</v>
      </c>
      <c r="B452" s="6" t="s">
        <v>40</v>
      </c>
      <c r="C452" s="105" t="s">
        <v>699</v>
      </c>
      <c r="D452" s="113" t="s">
        <v>700</v>
      </c>
      <c r="E452" s="105" t="s">
        <v>587</v>
      </c>
      <c r="F452" s="123">
        <v>60</v>
      </c>
      <c r="G452" s="44">
        <v>244</v>
      </c>
      <c r="H452" s="44">
        <v>226</v>
      </c>
      <c r="I452" s="123"/>
      <c r="J452" s="114"/>
      <c r="K452" s="12">
        <v>3180</v>
      </c>
      <c r="L452" s="115"/>
      <c r="M452" s="152">
        <f>1320*2</f>
        <v>2640</v>
      </c>
      <c r="N452" s="115"/>
      <c r="O452" s="152"/>
      <c r="P452" s="114"/>
    </row>
    <row r="453" spans="1:16" ht="30.6" x14ac:dyDescent="0.25">
      <c r="A453" s="39" t="s">
        <v>562</v>
      </c>
      <c r="B453" s="6" t="s">
        <v>25</v>
      </c>
      <c r="C453" s="105" t="s">
        <v>699</v>
      </c>
      <c r="D453" s="113" t="s">
        <v>700</v>
      </c>
      <c r="E453" s="105" t="s">
        <v>590</v>
      </c>
      <c r="F453" s="123">
        <v>60</v>
      </c>
      <c r="G453" s="44">
        <v>244</v>
      </c>
      <c r="H453" s="44">
        <v>226</v>
      </c>
      <c r="I453" s="123"/>
      <c r="J453" s="114"/>
      <c r="K453" s="12">
        <v>25000</v>
      </c>
      <c r="L453" s="115"/>
      <c r="M453" s="152">
        <v>9150</v>
      </c>
      <c r="N453" s="115"/>
      <c r="O453" s="152"/>
      <c r="P453" s="114"/>
    </row>
    <row r="454" spans="1:16" ht="26.4" x14ac:dyDescent="0.25">
      <c r="A454" s="39" t="s">
        <v>563</v>
      </c>
      <c r="B454" s="6" t="s">
        <v>534</v>
      </c>
      <c r="C454" s="105"/>
      <c r="D454" s="113"/>
      <c r="E454" s="105"/>
      <c r="F454" s="123">
        <v>60</v>
      </c>
      <c r="G454" s="44">
        <v>244</v>
      </c>
      <c r="H454" s="44">
        <v>342</v>
      </c>
      <c r="I454" s="123"/>
      <c r="J454" s="114"/>
      <c r="K454" s="12">
        <v>3000</v>
      </c>
      <c r="L454" s="115"/>
      <c r="M454" s="152"/>
      <c r="N454" s="115"/>
      <c r="O454" s="152"/>
      <c r="P454" s="114"/>
    </row>
    <row r="455" spans="1:16" ht="26.4" x14ac:dyDescent="0.25">
      <c r="A455" s="39" t="s">
        <v>564</v>
      </c>
      <c r="B455" s="6" t="s">
        <v>544</v>
      </c>
      <c r="C455" s="105"/>
      <c r="D455" s="113"/>
      <c r="E455" s="105"/>
      <c r="F455" s="123">
        <v>60</v>
      </c>
      <c r="G455" s="44">
        <v>244</v>
      </c>
      <c r="H455" s="44">
        <v>346</v>
      </c>
      <c r="I455" s="123"/>
      <c r="J455" s="114"/>
      <c r="K455" s="12">
        <v>1500</v>
      </c>
      <c r="L455" s="115"/>
      <c r="M455" s="152"/>
      <c r="N455" s="115"/>
      <c r="O455" s="152"/>
      <c r="P455" s="114"/>
    </row>
    <row r="456" spans="1:16" ht="26.4" x14ac:dyDescent="0.25">
      <c r="A456" s="61" t="s">
        <v>49</v>
      </c>
      <c r="B456" s="5" t="s">
        <v>105</v>
      </c>
      <c r="C456" s="112"/>
      <c r="D456" s="113"/>
      <c r="E456" s="105"/>
      <c r="F456" s="123">
        <v>60</v>
      </c>
      <c r="G456" s="28"/>
      <c r="H456" s="28"/>
      <c r="I456" s="123"/>
      <c r="J456" s="114"/>
      <c r="K456" s="11">
        <f>K457</f>
        <v>15900</v>
      </c>
      <c r="L456" s="115"/>
      <c r="M456" s="152"/>
      <c r="N456" s="115"/>
      <c r="O456" s="152"/>
      <c r="P456" s="114"/>
    </row>
    <row r="457" spans="1:16" x14ac:dyDescent="0.25">
      <c r="A457" s="39" t="s">
        <v>50</v>
      </c>
      <c r="B457" s="6" t="s">
        <v>21</v>
      </c>
      <c r="C457" s="105" t="s">
        <v>699</v>
      </c>
      <c r="D457" s="113" t="s">
        <v>702</v>
      </c>
      <c r="E457" s="105"/>
      <c r="F457" s="123">
        <v>60</v>
      </c>
      <c r="G457" s="44">
        <v>244</v>
      </c>
      <c r="H457" s="44">
        <v>226</v>
      </c>
      <c r="I457" s="123"/>
      <c r="J457" s="114"/>
      <c r="K457" s="12">
        <v>15900</v>
      </c>
      <c r="L457" s="115"/>
      <c r="M457" s="152"/>
      <c r="N457" s="115"/>
      <c r="O457" s="152"/>
      <c r="P457" s="114"/>
    </row>
    <row r="458" spans="1:16" ht="26.4" x14ac:dyDescent="0.25">
      <c r="A458" s="61" t="s">
        <v>52</v>
      </c>
      <c r="B458" s="5" t="s">
        <v>106</v>
      </c>
      <c r="C458" s="166"/>
      <c r="D458" s="113"/>
      <c r="E458" s="123"/>
      <c r="F458" s="123">
        <v>60</v>
      </c>
      <c r="G458" s="28"/>
      <c r="H458" s="28"/>
      <c r="I458" s="123"/>
      <c r="J458" s="114"/>
      <c r="K458" s="11">
        <f>K459</f>
        <v>42400</v>
      </c>
      <c r="L458" s="115"/>
      <c r="M458" s="152"/>
      <c r="N458" s="115"/>
      <c r="O458" s="152"/>
      <c r="P458" s="114"/>
    </row>
    <row r="459" spans="1:16" x14ac:dyDescent="0.25">
      <c r="A459" s="39" t="s">
        <v>53</v>
      </c>
      <c r="B459" s="6" t="s">
        <v>14</v>
      </c>
      <c r="C459" s="105" t="s">
        <v>699</v>
      </c>
      <c r="D459" s="113" t="s">
        <v>702</v>
      </c>
      <c r="E459" s="105"/>
      <c r="F459" s="123">
        <v>60</v>
      </c>
      <c r="G459" s="44">
        <v>244</v>
      </c>
      <c r="H459" s="44">
        <v>222</v>
      </c>
      <c r="I459" s="123"/>
      <c r="J459" s="114"/>
      <c r="K459" s="12">
        <v>42400</v>
      </c>
      <c r="L459" s="115"/>
      <c r="M459" s="152"/>
      <c r="N459" s="115"/>
      <c r="O459" s="152"/>
      <c r="P459" s="114"/>
    </row>
    <row r="460" spans="1:16" ht="26.4" x14ac:dyDescent="0.25">
      <c r="A460" s="61" t="s">
        <v>489</v>
      </c>
      <c r="B460" s="5" t="s">
        <v>107</v>
      </c>
      <c r="C460" s="105"/>
      <c r="D460" s="113"/>
      <c r="E460" s="105"/>
      <c r="F460" s="123">
        <v>60</v>
      </c>
      <c r="G460" s="28"/>
      <c r="H460" s="28"/>
      <c r="I460" s="123"/>
      <c r="J460" s="114"/>
      <c r="K460" s="11">
        <f>K461+K462+K463</f>
        <v>7642</v>
      </c>
      <c r="L460" s="115"/>
      <c r="M460" s="152"/>
      <c r="N460" s="115"/>
      <c r="O460" s="152"/>
      <c r="P460" s="114"/>
    </row>
    <row r="461" spans="1:16" ht="30.6" x14ac:dyDescent="0.25">
      <c r="A461" s="39" t="s">
        <v>395</v>
      </c>
      <c r="B461" s="6" t="s">
        <v>211</v>
      </c>
      <c r="C461" s="105" t="s">
        <v>699</v>
      </c>
      <c r="D461" s="113" t="s">
        <v>700</v>
      </c>
      <c r="E461" s="105" t="s">
        <v>595</v>
      </c>
      <c r="F461" s="123">
        <v>60</v>
      </c>
      <c r="G461" s="44">
        <v>244</v>
      </c>
      <c r="H461" s="44">
        <v>349</v>
      </c>
      <c r="I461" s="123"/>
      <c r="J461" s="114"/>
      <c r="K461" s="12">
        <f>INT((6*30)*1.06)</f>
        <v>190</v>
      </c>
      <c r="L461" s="115"/>
      <c r="M461" s="152">
        <f>10*12</f>
        <v>120</v>
      </c>
      <c r="N461" s="115"/>
      <c r="O461" s="152">
        <f>M461</f>
        <v>120</v>
      </c>
      <c r="P461" s="114"/>
    </row>
    <row r="462" spans="1:16" ht="30.6" x14ac:dyDescent="0.25">
      <c r="A462" s="39" t="s">
        <v>565</v>
      </c>
      <c r="B462" s="6" t="s">
        <v>66</v>
      </c>
      <c r="C462" s="105" t="s">
        <v>699</v>
      </c>
      <c r="D462" s="113" t="s">
        <v>700</v>
      </c>
      <c r="E462" s="105" t="s">
        <v>593</v>
      </c>
      <c r="F462" s="123">
        <v>60</v>
      </c>
      <c r="G462" s="44">
        <v>244</v>
      </c>
      <c r="H462" s="44">
        <v>349</v>
      </c>
      <c r="I462" s="123"/>
      <c r="J462" s="114"/>
      <c r="K462" s="12">
        <f>(6*700)*1.06</f>
        <v>4452</v>
      </c>
      <c r="L462" s="115"/>
      <c r="M462" s="152">
        <v>4400</v>
      </c>
      <c r="N462" s="115"/>
      <c r="O462" s="152">
        <f>M462</f>
        <v>4400</v>
      </c>
      <c r="P462" s="114"/>
    </row>
    <row r="463" spans="1:16" ht="26.4" x14ac:dyDescent="0.25">
      <c r="A463" s="39" t="s">
        <v>566</v>
      </c>
      <c r="B463" s="6" t="s">
        <v>534</v>
      </c>
      <c r="C463" s="105"/>
      <c r="D463" s="113"/>
      <c r="E463" s="105"/>
      <c r="F463" s="123">
        <v>60</v>
      </c>
      <c r="G463" s="44">
        <v>244</v>
      </c>
      <c r="H463" s="44">
        <v>342</v>
      </c>
      <c r="I463" s="123"/>
      <c r="J463" s="114"/>
      <c r="K463" s="12">
        <v>3000</v>
      </c>
      <c r="L463" s="115"/>
      <c r="M463" s="152"/>
      <c r="N463" s="115"/>
      <c r="O463" s="152"/>
      <c r="P463" s="114"/>
    </row>
    <row r="464" spans="1:16" s="111" customFormat="1" ht="26.4" x14ac:dyDescent="0.25">
      <c r="A464" s="61" t="s">
        <v>134</v>
      </c>
      <c r="B464" s="5" t="s">
        <v>108</v>
      </c>
      <c r="C464" s="109"/>
      <c r="D464" s="123"/>
      <c r="E464" s="124"/>
      <c r="F464" s="123">
        <v>60</v>
      </c>
      <c r="G464" s="28"/>
      <c r="H464" s="28"/>
      <c r="I464" s="124"/>
      <c r="J464" s="125"/>
      <c r="K464" s="11">
        <f>K465+K466+K467+K468+K469</f>
        <v>20373</v>
      </c>
      <c r="L464" s="1"/>
      <c r="M464" s="167"/>
      <c r="N464" s="1"/>
      <c r="O464" s="167"/>
      <c r="P464" s="125"/>
    </row>
    <row r="465" spans="1:16" ht="30.6" x14ac:dyDescent="0.25">
      <c r="A465" s="39" t="s">
        <v>136</v>
      </c>
      <c r="B465" s="6" t="s">
        <v>211</v>
      </c>
      <c r="C465" s="105" t="s">
        <v>699</v>
      </c>
      <c r="D465" s="113" t="s">
        <v>700</v>
      </c>
      <c r="E465" s="105" t="s">
        <v>595</v>
      </c>
      <c r="F465" s="123">
        <v>60</v>
      </c>
      <c r="G465" s="44">
        <v>244</v>
      </c>
      <c r="H465" s="44">
        <v>349</v>
      </c>
      <c r="I465" s="123"/>
      <c r="J465" s="114"/>
      <c r="K465" s="12">
        <f>INT((18*30)*1.06)</f>
        <v>572</v>
      </c>
      <c r="L465" s="115"/>
      <c r="M465" s="152">
        <f>25*12</f>
        <v>300</v>
      </c>
      <c r="N465" s="115"/>
      <c r="O465" s="152">
        <f>M465</f>
        <v>300</v>
      </c>
      <c r="P465" s="114"/>
    </row>
    <row r="466" spans="1:16" ht="26.4" x14ac:dyDescent="0.25">
      <c r="A466" s="39" t="s">
        <v>491</v>
      </c>
      <c r="B466" s="6" t="s">
        <v>211</v>
      </c>
      <c r="C466" s="105" t="s">
        <v>699</v>
      </c>
      <c r="D466" s="113" t="s">
        <v>700</v>
      </c>
      <c r="E466" s="123"/>
      <c r="F466" s="123">
        <v>60</v>
      </c>
      <c r="G466" s="44">
        <v>244</v>
      </c>
      <c r="H466" s="44">
        <v>349</v>
      </c>
      <c r="I466" s="123"/>
      <c r="J466" s="114"/>
      <c r="K466" s="12">
        <f>(18*125)*1.06</f>
        <v>2385</v>
      </c>
      <c r="L466" s="115"/>
      <c r="M466" s="152"/>
      <c r="N466" s="115"/>
      <c r="O466" s="152"/>
      <c r="P466" s="114"/>
    </row>
    <row r="467" spans="1:16" ht="26.4" x14ac:dyDescent="0.25">
      <c r="A467" s="39" t="s">
        <v>567</v>
      </c>
      <c r="B467" s="6" t="s">
        <v>211</v>
      </c>
      <c r="C467" s="105" t="s">
        <v>699</v>
      </c>
      <c r="D467" s="113" t="s">
        <v>700</v>
      </c>
      <c r="E467" s="105"/>
      <c r="F467" s="123">
        <v>60</v>
      </c>
      <c r="G467" s="44">
        <v>244</v>
      </c>
      <c r="H467" s="44">
        <v>349</v>
      </c>
      <c r="I467" s="123"/>
      <c r="J467" s="114"/>
      <c r="K467" s="12">
        <f>(2*500)*1.06</f>
        <v>1060</v>
      </c>
      <c r="L467" s="115"/>
      <c r="M467" s="152"/>
      <c r="N467" s="115"/>
      <c r="O467" s="152"/>
      <c r="P467" s="114"/>
    </row>
    <row r="468" spans="1:16" x14ac:dyDescent="0.25">
      <c r="A468" s="39" t="s">
        <v>568</v>
      </c>
      <c r="B468" s="6" t="s">
        <v>66</v>
      </c>
      <c r="C468" s="105" t="s">
        <v>699</v>
      </c>
      <c r="D468" s="113" t="s">
        <v>700</v>
      </c>
      <c r="E468" s="105"/>
      <c r="F468" s="123">
        <v>60</v>
      </c>
      <c r="G468" s="44">
        <v>244</v>
      </c>
      <c r="H468" s="44">
        <v>349</v>
      </c>
      <c r="I468" s="123"/>
      <c r="J468" s="114"/>
      <c r="K468" s="12">
        <f>(18*700)*1.06</f>
        <v>13356</v>
      </c>
      <c r="L468" s="115"/>
      <c r="M468" s="152"/>
      <c r="N468" s="115"/>
      <c r="O468" s="152"/>
      <c r="P468" s="114"/>
    </row>
    <row r="469" spans="1:16" ht="26.4" x14ac:dyDescent="0.25">
      <c r="A469" s="39" t="s">
        <v>569</v>
      </c>
      <c r="B469" s="6" t="s">
        <v>534</v>
      </c>
      <c r="C469" s="166"/>
      <c r="D469" s="113"/>
      <c r="E469" s="123"/>
      <c r="F469" s="123">
        <v>60</v>
      </c>
      <c r="G469" s="44">
        <v>244</v>
      </c>
      <c r="H469" s="44">
        <v>342</v>
      </c>
      <c r="I469" s="123"/>
      <c r="J469" s="114"/>
      <c r="K469" s="12">
        <v>3000</v>
      </c>
      <c r="L469" s="115"/>
      <c r="M469" s="152"/>
      <c r="N469" s="115"/>
      <c r="O469" s="152"/>
      <c r="P469" s="114"/>
    </row>
    <row r="470" spans="1:16" x14ac:dyDescent="0.25">
      <c r="A470" s="61" t="s">
        <v>176</v>
      </c>
      <c r="B470" s="5" t="s">
        <v>109</v>
      </c>
      <c r="C470" s="105"/>
      <c r="D470" s="113"/>
      <c r="E470" s="105"/>
      <c r="F470" s="123">
        <v>60</v>
      </c>
      <c r="G470" s="28"/>
      <c r="H470" s="28"/>
      <c r="I470" s="123"/>
      <c r="J470" s="114"/>
      <c r="K470" s="11">
        <f>SUBTOTAL(9,K471:K473)</f>
        <v>7642</v>
      </c>
      <c r="L470" s="115"/>
      <c r="M470" s="152"/>
      <c r="N470" s="115"/>
      <c r="O470" s="152"/>
      <c r="P470" s="114"/>
    </row>
    <row r="471" spans="1:16" ht="30.6" x14ac:dyDescent="0.25">
      <c r="A471" s="39" t="s">
        <v>570</v>
      </c>
      <c r="B471" s="6" t="s">
        <v>211</v>
      </c>
      <c r="C471" s="105" t="s">
        <v>699</v>
      </c>
      <c r="D471" s="113" t="s">
        <v>700</v>
      </c>
      <c r="E471" s="105" t="s">
        <v>595</v>
      </c>
      <c r="F471" s="123">
        <v>60</v>
      </c>
      <c r="G471" s="44">
        <v>244</v>
      </c>
      <c r="H471" s="44">
        <v>349</v>
      </c>
      <c r="I471" s="123"/>
      <c r="J471" s="114"/>
      <c r="K471" s="12">
        <f>INT((6*30)*1.06)</f>
        <v>190</v>
      </c>
      <c r="L471" s="115"/>
      <c r="M471" s="152">
        <f>10*12</f>
        <v>120</v>
      </c>
      <c r="N471" s="115"/>
      <c r="O471" s="152">
        <f>M471</f>
        <v>120</v>
      </c>
      <c r="P471" s="114"/>
    </row>
    <row r="472" spans="1:16" ht="30.6" x14ac:dyDescent="0.25">
      <c r="A472" s="39" t="s">
        <v>571</v>
      </c>
      <c r="B472" s="6" t="s">
        <v>66</v>
      </c>
      <c r="C472" s="105" t="s">
        <v>699</v>
      </c>
      <c r="D472" s="113" t="s">
        <v>700</v>
      </c>
      <c r="E472" s="105" t="s">
        <v>593</v>
      </c>
      <c r="F472" s="123">
        <v>60</v>
      </c>
      <c r="G472" s="44">
        <v>244</v>
      </c>
      <c r="H472" s="44">
        <v>349</v>
      </c>
      <c r="I472" s="123"/>
      <c r="J472" s="114"/>
      <c r="K472" s="12">
        <f>(6*700)*1.06</f>
        <v>4452</v>
      </c>
      <c r="L472" s="115"/>
      <c r="M472" s="152">
        <v>4400</v>
      </c>
      <c r="N472" s="115"/>
      <c r="O472" s="152">
        <f>M472</f>
        <v>4400</v>
      </c>
      <c r="P472" s="114"/>
    </row>
    <row r="473" spans="1:16" ht="26.4" x14ac:dyDescent="0.25">
      <c r="A473" s="39" t="s">
        <v>572</v>
      </c>
      <c r="B473" s="6" t="s">
        <v>534</v>
      </c>
      <c r="C473" s="105"/>
      <c r="D473" s="113"/>
      <c r="E473" s="105"/>
      <c r="F473" s="123">
        <v>60</v>
      </c>
      <c r="G473" s="44">
        <v>244</v>
      </c>
      <c r="H473" s="44">
        <v>342</v>
      </c>
      <c r="I473" s="105"/>
      <c r="J473" s="82"/>
      <c r="K473" s="82">
        <v>3000</v>
      </c>
      <c r="L473" s="115"/>
      <c r="M473" s="152"/>
      <c r="N473" s="115"/>
      <c r="O473" s="152"/>
      <c r="P473" s="114"/>
    </row>
    <row r="474" spans="1:16" ht="61.2" x14ac:dyDescent="0.25">
      <c r="A474" s="61" t="s">
        <v>177</v>
      </c>
      <c r="B474" s="5" t="s">
        <v>573</v>
      </c>
      <c r="C474" s="105" t="s">
        <v>699</v>
      </c>
      <c r="D474" s="113" t="s">
        <v>702</v>
      </c>
      <c r="E474" s="105" t="s">
        <v>594</v>
      </c>
      <c r="F474" s="123">
        <v>60</v>
      </c>
      <c r="G474" s="28">
        <v>244</v>
      </c>
      <c r="H474" s="28">
        <v>226</v>
      </c>
      <c r="I474" s="123"/>
      <c r="J474" s="11"/>
      <c r="K474" s="11">
        <v>79500</v>
      </c>
      <c r="L474" s="115"/>
      <c r="M474" s="152">
        <v>12000</v>
      </c>
      <c r="N474" s="115"/>
      <c r="O474" s="152">
        <v>12000</v>
      </c>
      <c r="P474" s="114"/>
    </row>
    <row r="475" spans="1:16" ht="26.4" x14ac:dyDescent="0.25">
      <c r="A475" s="61" t="s">
        <v>90</v>
      </c>
      <c r="B475" s="5" t="s">
        <v>110</v>
      </c>
      <c r="C475" s="105" t="s">
        <v>699</v>
      </c>
      <c r="D475" s="113" t="s">
        <v>702</v>
      </c>
      <c r="E475" s="105"/>
      <c r="F475" s="123">
        <v>60</v>
      </c>
      <c r="G475" s="28">
        <v>244</v>
      </c>
      <c r="H475" s="28">
        <v>226</v>
      </c>
      <c r="I475" s="123"/>
      <c r="J475" s="11"/>
      <c r="K475" s="11">
        <v>15900</v>
      </c>
      <c r="L475" s="115"/>
      <c r="M475" s="152"/>
      <c r="N475" s="115"/>
      <c r="O475" s="152"/>
      <c r="P475" s="114"/>
    </row>
    <row r="476" spans="1:16" ht="26.4" x14ac:dyDescent="0.25">
      <c r="A476" s="61" t="s">
        <v>56</v>
      </c>
      <c r="B476" s="5" t="s">
        <v>111</v>
      </c>
      <c r="C476" s="105"/>
      <c r="D476" s="113"/>
      <c r="E476" s="105"/>
      <c r="F476" s="123">
        <v>60</v>
      </c>
      <c r="G476" s="28"/>
      <c r="H476" s="28"/>
      <c r="I476" s="123"/>
      <c r="J476" s="11"/>
      <c r="K476" s="11">
        <v>37100</v>
      </c>
      <c r="L476" s="115"/>
      <c r="M476" s="152"/>
      <c r="N476" s="115"/>
      <c r="O476" s="152"/>
      <c r="P476" s="114"/>
    </row>
    <row r="477" spans="1:16" x14ac:dyDescent="0.25">
      <c r="A477" s="39" t="s">
        <v>402</v>
      </c>
      <c r="B477" s="6" t="s">
        <v>14</v>
      </c>
      <c r="C477" s="105" t="s">
        <v>699</v>
      </c>
      <c r="D477" s="113" t="s">
        <v>702</v>
      </c>
      <c r="E477" s="105"/>
      <c r="F477" s="123">
        <v>60</v>
      </c>
      <c r="G477" s="44">
        <v>244</v>
      </c>
      <c r="H477" s="44">
        <v>222</v>
      </c>
      <c r="I477" s="123"/>
      <c r="J477" s="12"/>
      <c r="K477" s="12">
        <v>37100</v>
      </c>
      <c r="L477" s="115"/>
      <c r="M477" s="152"/>
      <c r="N477" s="115"/>
      <c r="O477" s="152"/>
      <c r="P477" s="114"/>
    </row>
    <row r="478" spans="1:16" ht="71.400000000000006" x14ac:dyDescent="0.25">
      <c r="A478" s="61" t="s">
        <v>57</v>
      </c>
      <c r="B478" s="5" t="s">
        <v>178</v>
      </c>
      <c r="C478" s="113" t="s">
        <v>700</v>
      </c>
      <c r="D478" s="113" t="s">
        <v>700</v>
      </c>
      <c r="E478" s="105" t="s">
        <v>636</v>
      </c>
      <c r="F478" s="123">
        <v>60</v>
      </c>
      <c r="G478" s="28">
        <v>244</v>
      </c>
      <c r="H478" s="28">
        <v>226</v>
      </c>
      <c r="I478" s="123"/>
      <c r="J478" s="11"/>
      <c r="K478" s="11">
        <v>2550000</v>
      </c>
      <c r="L478" s="115"/>
      <c r="M478" s="152">
        <f>40500+187250+993650</f>
        <v>1221400</v>
      </c>
      <c r="N478" s="115"/>
      <c r="O478" s="152">
        <f>187250+6000+8000+9000+9000+8500+489500+244850+259300</f>
        <v>1221400</v>
      </c>
      <c r="P478" s="114"/>
    </row>
    <row r="479" spans="1:16" ht="40.200000000000003" thickBot="1" x14ac:dyDescent="0.3">
      <c r="A479" s="84" t="s">
        <v>58</v>
      </c>
      <c r="B479" s="85" t="s">
        <v>574</v>
      </c>
      <c r="C479" s="174">
        <v>43435</v>
      </c>
      <c r="D479" s="144" t="s">
        <v>716</v>
      </c>
      <c r="E479" s="129" t="s">
        <v>637</v>
      </c>
      <c r="F479" s="145">
        <v>60</v>
      </c>
      <c r="G479" s="29">
        <v>244</v>
      </c>
      <c r="H479" s="29">
        <v>226</v>
      </c>
      <c r="I479" s="145"/>
      <c r="J479" s="34"/>
      <c r="K479" s="34">
        <v>1000000</v>
      </c>
      <c r="L479" s="132"/>
      <c r="M479" s="172">
        <v>615000</v>
      </c>
      <c r="N479" s="132"/>
      <c r="O479" s="172">
        <f>96750+120000+133500+129750+135000</f>
        <v>615000</v>
      </c>
      <c r="P479" s="131"/>
    </row>
    <row r="480" spans="1:16" ht="13.8" thickBot="1" x14ac:dyDescent="0.3">
      <c r="A480" s="32"/>
      <c r="B480" s="33" t="s">
        <v>338</v>
      </c>
      <c r="C480" s="146"/>
      <c r="D480" s="147"/>
      <c r="E480" s="146"/>
      <c r="F480" s="148">
        <v>60</v>
      </c>
      <c r="G480" s="87"/>
      <c r="H480" s="87"/>
      <c r="I480" s="148"/>
      <c r="J480" s="36"/>
      <c r="K480" s="36">
        <f>K327+K334+K336+K343+K346+K349+K353+K361+K363+K367+K369+K375+K378+K381+K384+K389+K394+K398+K407+K414+K416+K420+K424+K429+K434+K443+K446+K456+K458+K460+K464+K470+K474+K475+K476+K478+K479</f>
        <v>5207242</v>
      </c>
      <c r="L480" s="150"/>
      <c r="M480" s="182"/>
      <c r="N480" s="150"/>
      <c r="O480" s="173">
        <f>SUM(O327:O479)</f>
        <v>2173246</v>
      </c>
      <c r="P480" s="149"/>
    </row>
    <row r="481" spans="1:16" ht="52.8" x14ac:dyDescent="0.25">
      <c r="A481" s="45" t="s">
        <v>339</v>
      </c>
      <c r="B481" s="17" t="s">
        <v>340</v>
      </c>
      <c r="C481" s="138"/>
      <c r="D481" s="139"/>
      <c r="E481" s="138"/>
      <c r="F481" s="138">
        <v>18</v>
      </c>
      <c r="G481" s="68"/>
      <c r="H481" s="68"/>
      <c r="I481" s="151"/>
      <c r="J481" s="74"/>
      <c r="K481" s="86"/>
      <c r="L481" s="142"/>
      <c r="M481" s="159"/>
      <c r="N481" s="142"/>
      <c r="O481" s="159"/>
      <c r="P481" s="140"/>
    </row>
    <row r="482" spans="1:16" s="111" customFormat="1" ht="34.200000000000003" x14ac:dyDescent="0.25">
      <c r="A482" s="63" t="s">
        <v>151</v>
      </c>
      <c r="B482" s="22" t="s">
        <v>341</v>
      </c>
      <c r="C482" s="112"/>
      <c r="D482" s="113"/>
      <c r="E482" s="105"/>
      <c r="F482" s="138">
        <v>18</v>
      </c>
      <c r="G482" s="69"/>
      <c r="H482" s="70"/>
      <c r="I482" s="123"/>
      <c r="J482" s="27"/>
      <c r="K482" s="27">
        <f>SUM(K483)</f>
        <v>350000</v>
      </c>
      <c r="L482" s="115"/>
      <c r="M482" s="152"/>
      <c r="N482" s="115"/>
      <c r="O482" s="152"/>
      <c r="P482" s="114"/>
    </row>
    <row r="483" spans="1:16" ht="24" x14ac:dyDescent="0.25">
      <c r="A483" s="64" t="s">
        <v>10</v>
      </c>
      <c r="B483" s="23" t="s">
        <v>342</v>
      </c>
      <c r="C483" s="105"/>
      <c r="D483" s="113"/>
      <c r="E483" s="105"/>
      <c r="F483" s="138">
        <v>18</v>
      </c>
      <c r="G483" s="44">
        <v>360</v>
      </c>
      <c r="H483" s="44">
        <v>296</v>
      </c>
      <c r="I483" s="123"/>
      <c r="J483" s="75"/>
      <c r="K483" s="75">
        <v>350000</v>
      </c>
      <c r="L483" s="115"/>
      <c r="M483" s="152"/>
      <c r="N483" s="115"/>
      <c r="O483" s="152"/>
      <c r="P483" s="114"/>
    </row>
    <row r="484" spans="1:16" s="111" customFormat="1" x14ac:dyDescent="0.25">
      <c r="A484" s="63" t="s">
        <v>17</v>
      </c>
      <c r="B484" s="5" t="s">
        <v>343</v>
      </c>
      <c r="C484" s="109"/>
      <c r="D484" s="124"/>
      <c r="E484" s="124"/>
      <c r="F484" s="138">
        <v>18</v>
      </c>
      <c r="G484" s="44"/>
      <c r="H484" s="44"/>
      <c r="I484" s="124"/>
      <c r="J484" s="11"/>
      <c r="K484" s="11">
        <f>K485+K486+K487+K488+K489+K490+K491</f>
        <v>135136</v>
      </c>
      <c r="L484" s="1"/>
      <c r="M484" s="167"/>
      <c r="N484" s="1"/>
      <c r="O484" s="167"/>
      <c r="P484" s="125"/>
    </row>
    <row r="485" spans="1:16" x14ac:dyDescent="0.25">
      <c r="A485" s="64" t="s">
        <v>18</v>
      </c>
      <c r="B485" s="6" t="s">
        <v>204</v>
      </c>
      <c r="C485" s="105"/>
      <c r="D485" s="113"/>
      <c r="E485" s="105"/>
      <c r="F485" s="138">
        <v>18</v>
      </c>
      <c r="G485" s="44">
        <v>244</v>
      </c>
      <c r="H485" s="44">
        <v>226</v>
      </c>
      <c r="I485" s="123"/>
      <c r="J485" s="12"/>
      <c r="K485" s="12">
        <v>6360</v>
      </c>
      <c r="L485" s="115"/>
      <c r="M485" s="152"/>
      <c r="N485" s="115"/>
      <c r="O485" s="152"/>
      <c r="P485" s="114"/>
    </row>
    <row r="486" spans="1:16" ht="26.4" x14ac:dyDescent="0.25">
      <c r="A486" s="64" t="s">
        <v>344</v>
      </c>
      <c r="B486" s="6" t="s">
        <v>211</v>
      </c>
      <c r="C486" s="105"/>
      <c r="D486" s="113"/>
      <c r="E486" s="105"/>
      <c r="F486" s="138">
        <v>18</v>
      </c>
      <c r="G486" s="44">
        <v>244</v>
      </c>
      <c r="H486" s="44">
        <v>349</v>
      </c>
      <c r="I486" s="123"/>
      <c r="J486" s="12"/>
      <c r="K486" s="12">
        <f>(10*30)*1.06</f>
        <v>318</v>
      </c>
      <c r="L486" s="115"/>
      <c r="M486" s="152"/>
      <c r="N486" s="115"/>
      <c r="O486" s="152"/>
      <c r="P486" s="114"/>
    </row>
    <row r="487" spans="1:16" ht="26.4" x14ac:dyDescent="0.25">
      <c r="A487" s="64" t="s">
        <v>345</v>
      </c>
      <c r="B487" s="6" t="s">
        <v>211</v>
      </c>
      <c r="C487" s="105"/>
      <c r="D487" s="113"/>
      <c r="E487" s="105"/>
      <c r="F487" s="138">
        <v>18</v>
      </c>
      <c r="G487" s="44">
        <v>244</v>
      </c>
      <c r="H487" s="44">
        <v>349</v>
      </c>
      <c r="I487" s="123"/>
      <c r="J487" s="12"/>
      <c r="K487" s="12">
        <f>(10*30)*1.06</f>
        <v>318</v>
      </c>
      <c r="L487" s="115"/>
      <c r="M487" s="152"/>
      <c r="N487" s="115"/>
      <c r="O487" s="152"/>
      <c r="P487" s="114"/>
    </row>
    <row r="488" spans="1:16" ht="26.4" x14ac:dyDescent="0.25">
      <c r="A488" s="64" t="s">
        <v>346</v>
      </c>
      <c r="B488" s="6" t="s">
        <v>347</v>
      </c>
      <c r="C488" s="105"/>
      <c r="D488" s="113"/>
      <c r="E488" s="105"/>
      <c r="F488" s="138">
        <v>18</v>
      </c>
      <c r="G488" s="44">
        <v>244</v>
      </c>
      <c r="H488" s="44">
        <v>226</v>
      </c>
      <c r="I488" s="105"/>
      <c r="J488" s="12"/>
      <c r="K488" s="12">
        <v>21200</v>
      </c>
      <c r="L488" s="115"/>
      <c r="M488" s="152"/>
      <c r="N488" s="115"/>
      <c r="O488" s="152"/>
      <c r="P488" s="114"/>
    </row>
    <row r="489" spans="1:16" ht="39.6" x14ac:dyDescent="0.25">
      <c r="A489" s="43" t="s">
        <v>348</v>
      </c>
      <c r="B489" s="19" t="s">
        <v>575</v>
      </c>
      <c r="C489" s="105" t="s">
        <v>699</v>
      </c>
      <c r="D489" s="113" t="s">
        <v>700</v>
      </c>
      <c r="E489" s="105" t="s">
        <v>590</v>
      </c>
      <c r="F489" s="138">
        <v>18</v>
      </c>
      <c r="G489" s="48">
        <v>244</v>
      </c>
      <c r="H489" s="48">
        <v>226</v>
      </c>
      <c r="I489" s="123"/>
      <c r="J489" s="15"/>
      <c r="K489" s="15">
        <f>(1*49000)*1.06</f>
        <v>51940</v>
      </c>
      <c r="L489" s="115"/>
      <c r="M489" s="152">
        <v>43150</v>
      </c>
      <c r="N489" s="115"/>
      <c r="O489" s="152"/>
      <c r="P489" s="114"/>
    </row>
    <row r="490" spans="1:16" ht="40.799999999999997" x14ac:dyDescent="0.25">
      <c r="A490" s="43" t="s">
        <v>19</v>
      </c>
      <c r="B490" s="52" t="s">
        <v>576</v>
      </c>
      <c r="C490" s="105" t="s">
        <v>699</v>
      </c>
      <c r="D490" s="113" t="s">
        <v>717</v>
      </c>
      <c r="E490" s="105" t="s">
        <v>638</v>
      </c>
      <c r="F490" s="138">
        <v>18</v>
      </c>
      <c r="G490" s="48">
        <v>244</v>
      </c>
      <c r="H490" s="48">
        <v>226</v>
      </c>
      <c r="I490" s="123"/>
      <c r="J490" s="15"/>
      <c r="K490" s="15">
        <v>50000</v>
      </c>
      <c r="L490" s="115"/>
      <c r="M490" s="152">
        <v>7000</v>
      </c>
      <c r="N490" s="115"/>
      <c r="O490" s="152">
        <f>M490</f>
        <v>7000</v>
      </c>
      <c r="P490" s="114"/>
    </row>
    <row r="491" spans="1:16" ht="26.4" x14ac:dyDescent="0.25">
      <c r="A491" s="43" t="s">
        <v>83</v>
      </c>
      <c r="B491" s="52" t="s">
        <v>577</v>
      </c>
      <c r="C491" s="105"/>
      <c r="D491" s="113"/>
      <c r="E491" s="105"/>
      <c r="F491" s="105">
        <v>18</v>
      </c>
      <c r="G491" s="48">
        <v>244</v>
      </c>
      <c r="H491" s="48">
        <v>349</v>
      </c>
      <c r="I491" s="123"/>
      <c r="J491" s="15"/>
      <c r="K491" s="15">
        <v>5000</v>
      </c>
      <c r="L491" s="115"/>
      <c r="M491" s="152"/>
      <c r="N491" s="115"/>
      <c r="O491" s="152"/>
      <c r="P491" s="114"/>
    </row>
    <row r="492" spans="1:16" ht="13.8" thickBot="1" x14ac:dyDescent="0.3">
      <c r="A492" s="62"/>
      <c r="B492" s="77"/>
      <c r="C492" s="129"/>
      <c r="D492" s="144"/>
      <c r="E492" s="129"/>
      <c r="F492" s="145">
        <v>60</v>
      </c>
      <c r="G492" s="79"/>
      <c r="H492" s="79"/>
      <c r="I492" s="145"/>
      <c r="J492" s="83"/>
      <c r="K492" s="83"/>
      <c r="L492" s="132"/>
      <c r="M492" s="172"/>
      <c r="N492" s="132"/>
      <c r="O492" s="172"/>
      <c r="P492" s="131"/>
    </row>
    <row r="493" spans="1:16" ht="13.8" thickBot="1" x14ac:dyDescent="0.3">
      <c r="A493" s="32"/>
      <c r="B493" s="33" t="s">
        <v>338</v>
      </c>
      <c r="C493" s="168"/>
      <c r="D493" s="147"/>
      <c r="E493" s="146"/>
      <c r="F493" s="148">
        <v>18</v>
      </c>
      <c r="G493" s="72"/>
      <c r="H493" s="72"/>
      <c r="I493" s="148"/>
      <c r="J493" s="36"/>
      <c r="K493" s="36">
        <f>K482+K484</f>
        <v>485136</v>
      </c>
      <c r="L493" s="150"/>
      <c r="M493" s="182"/>
      <c r="N493" s="150"/>
      <c r="O493" s="173">
        <v>7000</v>
      </c>
      <c r="P493" s="149"/>
    </row>
    <row r="494" spans="1:16" ht="52.8" x14ac:dyDescent="0.25">
      <c r="A494" s="45" t="s">
        <v>349</v>
      </c>
      <c r="B494" s="24" t="s">
        <v>578</v>
      </c>
      <c r="C494" s="138"/>
      <c r="D494" s="139"/>
      <c r="E494" s="138"/>
      <c r="F494" s="151">
        <v>115</v>
      </c>
      <c r="G494" s="68"/>
      <c r="H494" s="68"/>
      <c r="I494" s="151"/>
      <c r="J494" s="26"/>
      <c r="K494" s="89"/>
      <c r="L494" s="142"/>
      <c r="M494" s="159"/>
      <c r="N494" s="142"/>
      <c r="O494" s="159"/>
      <c r="P494" s="140"/>
    </row>
    <row r="495" spans="1:16" ht="31.2" thickBot="1" x14ac:dyDescent="0.3">
      <c r="A495" s="62" t="s">
        <v>350</v>
      </c>
      <c r="B495" s="88" t="s">
        <v>179</v>
      </c>
      <c r="C495" s="174">
        <v>43556</v>
      </c>
      <c r="D495" s="144" t="s">
        <v>708</v>
      </c>
      <c r="E495" s="129" t="s">
        <v>718</v>
      </c>
      <c r="F495" s="145">
        <v>115</v>
      </c>
      <c r="G495" s="71" t="s">
        <v>583</v>
      </c>
      <c r="H495" s="71" t="s">
        <v>527</v>
      </c>
      <c r="I495" s="145"/>
      <c r="J495" s="83">
        <v>1500000</v>
      </c>
      <c r="K495" s="179">
        <v>1500000</v>
      </c>
      <c r="L495" s="132"/>
      <c r="M495" s="172"/>
      <c r="N495" s="132"/>
      <c r="O495" s="172"/>
      <c r="P495" s="131"/>
    </row>
    <row r="496" spans="1:16" ht="13.8" thickBot="1" x14ac:dyDescent="0.3">
      <c r="A496" s="32"/>
      <c r="B496" s="33" t="s">
        <v>338</v>
      </c>
      <c r="C496" s="146"/>
      <c r="D496" s="147"/>
      <c r="E496" s="146"/>
      <c r="F496" s="148"/>
      <c r="G496" s="72"/>
      <c r="H496" s="72"/>
      <c r="I496" s="148"/>
      <c r="J496" s="36"/>
      <c r="K496" s="36"/>
      <c r="L496" s="150"/>
      <c r="M496" s="182"/>
      <c r="N496" s="150"/>
      <c r="O496" s="182"/>
      <c r="P496" s="149"/>
    </row>
    <row r="497" spans="1:16" s="111" customFormat="1" ht="16.2" thickBot="1" x14ac:dyDescent="0.35">
      <c r="A497" s="32"/>
      <c r="B497" s="37" t="s">
        <v>112</v>
      </c>
      <c r="C497" s="169"/>
      <c r="D497" s="170"/>
      <c r="E497" s="170"/>
      <c r="F497" s="148"/>
      <c r="G497" s="73"/>
      <c r="H497" s="73"/>
      <c r="I497" s="148"/>
      <c r="J497" s="36">
        <f>J325</f>
        <v>6396100</v>
      </c>
      <c r="K497" s="36">
        <f>K213+K251+K317+K321+J325+K480+K493+K495</f>
        <v>57296730.950000003</v>
      </c>
      <c r="L497" s="162"/>
      <c r="M497" s="173"/>
      <c r="N497" s="162"/>
      <c r="O497" s="173">
        <f>O213+O251+O317+O321+N325+O480+O493+O495</f>
        <v>20684669.399999999</v>
      </c>
      <c r="P497" s="171"/>
    </row>
    <row r="498" spans="1:16" x14ac:dyDescent="0.25">
      <c r="O498" s="189"/>
    </row>
    <row r="499" spans="1:16" x14ac:dyDescent="0.25">
      <c r="O499" s="189"/>
    </row>
    <row r="500" spans="1:16" x14ac:dyDescent="0.25">
      <c r="O500" s="189"/>
    </row>
    <row r="501" spans="1:16" x14ac:dyDescent="0.25">
      <c r="O501" s="189"/>
    </row>
  </sheetData>
  <autoFilter ref="A15:P497">
    <sortState ref="A21:R206">
      <sortCondition sortBy="cellColor" ref="M15:M500" dxfId="0"/>
    </sortState>
  </autoFilter>
  <mergeCells count="16">
    <mergeCell ref="F14:I14"/>
    <mergeCell ref="A4:P4"/>
    <mergeCell ref="A5:P5"/>
    <mergeCell ref="A6:P6"/>
    <mergeCell ref="A10:P10"/>
    <mergeCell ref="J14:K14"/>
    <mergeCell ref="L14:M14"/>
    <mergeCell ref="A13:A15"/>
    <mergeCell ref="B13:B15"/>
    <mergeCell ref="C14:C15"/>
    <mergeCell ref="D14:D15"/>
    <mergeCell ref="E14:E15"/>
    <mergeCell ref="C13:E13"/>
    <mergeCell ref="P13:P15"/>
    <mergeCell ref="N14:O14"/>
    <mergeCell ref="H13:O13"/>
  </mergeCells>
  <phoneticPr fontId="0" type="noConversion"/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800845</dc:creator>
  <dc:description>POI HSSF rep:2.33.0.126</dc:description>
  <cp:lastModifiedBy>Windows User</cp:lastModifiedBy>
  <cp:lastPrinted>2017-11-28T14:13:31Z</cp:lastPrinted>
  <dcterms:created xsi:type="dcterms:W3CDTF">2014-10-09T07:02:09Z</dcterms:created>
  <dcterms:modified xsi:type="dcterms:W3CDTF">2019-07-10T08:27:26Z</dcterms:modified>
</cp:coreProperties>
</file>