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1835"/>
  </bookViews>
  <sheets>
    <sheet name="Лист1" sheetId="17" r:id="rId1"/>
    <sheet name="Лист2" sheetId="18" r:id="rId2"/>
  </sheets>
  <definedNames>
    <definedName name="_xlnm._FilterDatabase" localSheetId="0" hidden="1">Лист1!$A$15:$O$509</definedName>
  </definedNames>
  <calcPr calcId="145621"/>
</workbook>
</file>

<file path=xl/calcChain.xml><?xml version="1.0" encoding="utf-8"?>
<calcChain xmlns="http://schemas.openxmlformats.org/spreadsheetml/2006/main">
  <c r="L471" i="17" l="1"/>
  <c r="L472" i="17"/>
  <c r="L468" i="17"/>
  <c r="H457" i="17"/>
  <c r="H399" i="17"/>
  <c r="H468" i="17"/>
  <c r="H214" i="17"/>
  <c r="H301" i="17"/>
  <c r="J301" i="17"/>
  <c r="L301" i="17"/>
  <c r="L283" i="17"/>
  <c r="H279" i="17" l="1"/>
  <c r="L439" i="17"/>
  <c r="L447" i="17"/>
  <c r="J208" i="17"/>
  <c r="J64" i="17"/>
  <c r="I309" i="17"/>
  <c r="I472" i="17" s="1"/>
  <c r="L455" i="17"/>
  <c r="J455" i="17"/>
  <c r="L453" i="17"/>
  <c r="J453" i="17"/>
  <c r="J323" i="17"/>
  <c r="L323" i="17" s="1"/>
  <c r="J314" i="17"/>
  <c r="L314" i="17" s="1"/>
  <c r="J443" i="17"/>
  <c r="L443" i="17" s="1"/>
  <c r="J353" i="17"/>
  <c r="J348" i="17"/>
  <c r="L348" i="17" s="1"/>
  <c r="J340" i="17"/>
  <c r="J335" i="17"/>
  <c r="L335" i="17" s="1"/>
  <c r="J332" i="17"/>
  <c r="J328" i="17"/>
  <c r="J324" i="17"/>
  <c r="J315" i="17"/>
  <c r="L315" i="17" s="1"/>
  <c r="J439" i="17"/>
  <c r="J418" i="17"/>
  <c r="L418" i="17" s="1"/>
  <c r="J430" i="17"/>
  <c r="L430" i="17" s="1"/>
  <c r="J442" i="17"/>
  <c r="L442" i="17" s="1"/>
  <c r="J447" i="17"/>
  <c r="L444" i="17"/>
  <c r="J444" i="17"/>
  <c r="L431" i="17"/>
  <c r="J431" i="17"/>
  <c r="L429" i="17"/>
  <c r="J429" i="17"/>
  <c r="H324" i="17"/>
  <c r="J417" i="17"/>
  <c r="L417" i="17" s="1"/>
  <c r="J412" i="17"/>
  <c r="L412" i="17" s="1"/>
  <c r="J411" i="17"/>
  <c r="L411" i="17" s="1"/>
  <c r="J368" i="17"/>
  <c r="L368" i="17" s="1"/>
  <c r="J406" i="17"/>
  <c r="L406" i="17" s="1"/>
  <c r="J405" i="17"/>
  <c r="L405" i="17" s="1"/>
  <c r="J398" i="17"/>
  <c r="L398" i="17" s="1"/>
  <c r="J397" i="17"/>
  <c r="L397" i="17" s="1"/>
  <c r="J393" i="17"/>
  <c r="L393" i="17" s="1"/>
  <c r="J386" i="17"/>
  <c r="L386" i="17" s="1"/>
  <c r="J385" i="17"/>
  <c r="L385" i="17" s="1"/>
  <c r="J381" i="17"/>
  <c r="L381" i="17" s="1"/>
  <c r="J380" i="17"/>
  <c r="L380" i="17" s="1"/>
  <c r="J375" i="17"/>
  <c r="L375" i="17" s="1"/>
  <c r="J373" i="17"/>
  <c r="L373" i="17" s="1"/>
  <c r="J372" i="17"/>
  <c r="L372" i="17" s="1"/>
  <c r="J367" i="17"/>
  <c r="L367" i="17" s="1"/>
  <c r="J355" i="17"/>
  <c r="L355" i="17" s="1"/>
  <c r="J354" i="17"/>
  <c r="L354" i="17" s="1"/>
  <c r="L353" i="17"/>
  <c r="J329" i="17"/>
  <c r="L340" i="17"/>
  <c r="J341" i="17"/>
  <c r="L341" i="17" s="1"/>
  <c r="J339" i="17"/>
  <c r="L339" i="17" s="1"/>
  <c r="L332" i="17"/>
  <c r="J337" i="17"/>
  <c r="L337" i="17" s="1"/>
  <c r="J312" i="17"/>
  <c r="J321" i="17"/>
  <c r="L321" i="17" s="1"/>
  <c r="J448" i="17"/>
  <c r="J445" i="17"/>
  <c r="J440" i="17"/>
  <c r="J427" i="17"/>
  <c r="J422" i="17"/>
  <c r="J415" i="17"/>
  <c r="J413" i="17"/>
  <c r="J407" i="17"/>
  <c r="J396" i="17"/>
  <c r="J394" i="17"/>
  <c r="J387" i="17"/>
  <c r="J378" i="17"/>
  <c r="J376" i="17"/>
  <c r="J371" i="17"/>
  <c r="J369" i="17"/>
  <c r="J362" i="17"/>
  <c r="J352" i="17"/>
  <c r="L352" i="17" s="1"/>
  <c r="J347" i="17"/>
  <c r="L347" i="17" s="1"/>
  <c r="L448" i="17"/>
  <c r="L445" i="17"/>
  <c r="L440" i="17"/>
  <c r="L427" i="17"/>
  <c r="L422" i="17"/>
  <c r="L415" i="17"/>
  <c r="L413" i="17"/>
  <c r="L407" i="17"/>
  <c r="L396" i="17"/>
  <c r="L394" i="17"/>
  <c r="L387" i="17"/>
  <c r="L378" i="17"/>
  <c r="L376" i="17"/>
  <c r="L371" i="17"/>
  <c r="L369" i="17"/>
  <c r="L362" i="17"/>
  <c r="L334" i="17"/>
  <c r="J334" i="17"/>
  <c r="L331" i="17"/>
  <c r="J331" i="17"/>
  <c r="L329" i="17" l="1"/>
  <c r="L328" i="17"/>
  <c r="L324" i="17"/>
  <c r="L295" i="17"/>
  <c r="L294" i="17"/>
  <c r="L291" i="17"/>
  <c r="L290" i="17"/>
  <c r="L285" i="17"/>
  <c r="L278" i="17"/>
  <c r="L274" i="17"/>
  <c r="J274" i="17"/>
  <c r="J272" i="17"/>
  <c r="L220" i="17"/>
  <c r="J257" i="17"/>
  <c r="J171" i="17"/>
  <c r="J180" i="17"/>
  <c r="J158" i="17"/>
  <c r="J116" i="17"/>
  <c r="L171" i="17"/>
  <c r="L99" i="17"/>
  <c r="L91" i="17"/>
  <c r="J91" i="17" s="1"/>
  <c r="L89" i="17"/>
  <c r="J89" i="17" s="1"/>
  <c r="L86" i="17"/>
  <c r="J86" i="17" s="1"/>
  <c r="J81" i="17"/>
  <c r="L81" i="17"/>
  <c r="L78" i="17"/>
  <c r="J78" i="17" s="1"/>
  <c r="J76" i="17"/>
  <c r="L76" i="17" s="1"/>
  <c r="L60" i="17"/>
  <c r="J203" i="17"/>
  <c r="L204" i="17"/>
  <c r="L68" i="17"/>
  <c r="L58" i="17"/>
  <c r="L39" i="17"/>
  <c r="L208" i="17"/>
  <c r="J175" i="17"/>
  <c r="L175" i="17" s="1"/>
  <c r="J133" i="17"/>
  <c r="L133" i="17" s="1"/>
  <c r="L110" i="17"/>
  <c r="L108" i="17"/>
  <c r="J101" i="17"/>
  <c r="L101" i="17" s="1"/>
  <c r="L64" i="17"/>
  <c r="L47" i="17"/>
  <c r="J95" i="17" l="1"/>
  <c r="L193" i="17" l="1"/>
  <c r="L186" i="17"/>
  <c r="L160" i="17"/>
  <c r="L124" i="17"/>
  <c r="L82" i="17"/>
  <c r="L41" i="17"/>
  <c r="L19" i="17"/>
  <c r="J267" i="17" l="1"/>
  <c r="L267" i="17" s="1"/>
  <c r="J253" i="17"/>
  <c r="L253" i="17" s="1"/>
  <c r="J286" i="17"/>
  <c r="J273" i="17"/>
  <c r="L273" i="17" s="1"/>
  <c r="L264" i="17"/>
  <c r="L263" i="17"/>
  <c r="L265" i="17"/>
  <c r="K308" i="17"/>
  <c r="K307" i="17"/>
  <c r="L304" i="17"/>
  <c r="L303" i="17"/>
  <c r="J22" i="17"/>
  <c r="L22" i="17" s="1"/>
  <c r="J131" i="17"/>
  <c r="L131" i="17" s="1"/>
  <c r="L59" i="17"/>
  <c r="J59" i="17"/>
  <c r="K309" i="17" l="1"/>
  <c r="K472" i="17" s="1"/>
  <c r="L305" i="17"/>
  <c r="J471" i="17"/>
  <c r="J468" i="17"/>
  <c r="J457" i="17"/>
  <c r="J305" i="17"/>
  <c r="J247" i="17"/>
  <c r="J112" i="17" l="1"/>
  <c r="J148" i="17"/>
  <c r="J156" i="17"/>
  <c r="J173" i="17"/>
  <c r="J167" i="17"/>
  <c r="J182" i="17"/>
  <c r="J185" i="17"/>
  <c r="J206" i="17"/>
  <c r="J99" i="17"/>
  <c r="J164" i="17" l="1"/>
  <c r="J146" i="17"/>
  <c r="L247" i="17" l="1"/>
  <c r="L457" i="17" l="1"/>
  <c r="L95" i="17"/>
  <c r="L212" i="17"/>
  <c r="L257" i="17"/>
  <c r="L272" i="17"/>
  <c r="J281" i="17"/>
  <c r="L252" i="17"/>
  <c r="L251" i="17"/>
  <c r="L250" i="17"/>
  <c r="L249" i="17"/>
  <c r="L203" i="17" l="1"/>
  <c r="L214" i="17" s="1"/>
  <c r="J214" i="17"/>
  <c r="J276" i="17"/>
  <c r="L276" i="17" s="1"/>
  <c r="J472" i="17" l="1"/>
  <c r="H471" i="17"/>
  <c r="H466" i="17"/>
  <c r="H464" i="17"/>
  <c r="H463" i="17"/>
  <c r="H459" i="17"/>
  <c r="H451" i="17"/>
  <c r="H448" i="17"/>
  <c r="H447" i="17"/>
  <c r="H445" i="17"/>
  <c r="H444" i="17"/>
  <c r="H443" i="17"/>
  <c r="H442" i="17"/>
  <c r="H440" i="17"/>
  <c r="H439" i="17"/>
  <c r="H436" i="17"/>
  <c r="H434" i="17"/>
  <c r="H433" i="17"/>
  <c r="H432" i="17"/>
  <c r="H431" i="17"/>
  <c r="H430" i="17"/>
  <c r="H429" i="17"/>
  <c r="H427" i="17"/>
  <c r="H424" i="17"/>
  <c r="H422" i="17"/>
  <c r="H420" i="17"/>
  <c r="H419" i="17"/>
  <c r="H418" i="17"/>
  <c r="H417" i="17"/>
  <c r="H415" i="17"/>
  <c r="H413" i="17"/>
  <c r="H412" i="17"/>
  <c r="H411" i="17"/>
  <c r="H408" i="17"/>
  <c r="H407" i="17"/>
  <c r="H406" i="17"/>
  <c r="H405" i="17"/>
  <c r="H401" i="17"/>
  <c r="H398" i="17"/>
  <c r="H397" i="17"/>
  <c r="H396" i="17"/>
  <c r="H394" i="17"/>
  <c r="H393" i="17"/>
  <c r="H390" i="17"/>
  <c r="H388" i="17"/>
  <c r="H387" i="17"/>
  <c r="H386" i="17"/>
  <c r="H385" i="17"/>
  <c r="H382" i="17"/>
  <c r="H381" i="17"/>
  <c r="H380" i="17"/>
  <c r="H378" i="17"/>
  <c r="H375" i="17"/>
  <c r="H374" i="17" s="1"/>
  <c r="H373" i="17"/>
  <c r="H372" i="17"/>
  <c r="H371" i="17"/>
  <c r="H369" i="17"/>
  <c r="H368" i="17"/>
  <c r="H367" i="17"/>
  <c r="H364" i="17"/>
  <c r="H362" i="17"/>
  <c r="H358" i="17"/>
  <c r="H356" i="17"/>
  <c r="H355" i="17"/>
  <c r="H354" i="17"/>
  <c r="H353" i="17"/>
  <c r="H352" i="17"/>
  <c r="H349" i="17"/>
  <c r="H348" i="17"/>
  <c r="H347" i="17"/>
  <c r="H344" i="17"/>
  <c r="H342" i="17"/>
  <c r="H341" i="17"/>
  <c r="H340" i="17"/>
  <c r="H339" i="17"/>
  <c r="H337" i="17"/>
  <c r="H335" i="17"/>
  <c r="H334" i="17"/>
  <c r="H332" i="17"/>
  <c r="H331" i="17"/>
  <c r="H329" i="17"/>
  <c r="H328" i="17"/>
  <c r="H325" i="17"/>
  <c r="H323" i="17"/>
  <c r="H321" i="17"/>
  <c r="H318" i="17"/>
  <c r="H316" i="17"/>
  <c r="H315" i="17"/>
  <c r="H314" i="17"/>
  <c r="H312" i="17"/>
  <c r="G309" i="17"/>
  <c r="G472" i="17" s="1"/>
  <c r="H305" i="17"/>
  <c r="H278" i="17"/>
  <c r="H276" i="17"/>
  <c r="H267" i="17"/>
  <c r="H258" i="17"/>
  <c r="H242" i="17"/>
  <c r="H241" i="17" s="1"/>
  <c r="H232" i="17"/>
  <c r="H229" i="17"/>
  <c r="H219" i="17"/>
  <c r="H217" i="17"/>
  <c r="H216" i="17" s="1"/>
  <c r="H366" i="17" l="1"/>
  <c r="H395" i="17"/>
  <c r="H404" i="17"/>
  <c r="H441" i="17"/>
  <c r="H333" i="17"/>
  <c r="H370" i="17"/>
  <c r="H377" i="17"/>
  <c r="H327" i="17"/>
  <c r="H330" i="17"/>
  <c r="H351" i="17"/>
  <c r="H361" i="17"/>
  <c r="H392" i="17"/>
  <c r="H414" i="17"/>
  <c r="H311" i="17"/>
  <c r="H346" i="17"/>
  <c r="H426" i="17"/>
  <c r="H438" i="17"/>
  <c r="H247" i="17"/>
  <c r="H320" i="17"/>
  <c r="H336" i="17"/>
  <c r="H384" i="17"/>
  <c r="H410" i="17"/>
  <c r="H421" i="17"/>
  <c r="H446" i="17"/>
  <c r="H461" i="17"/>
  <c r="H209" i="17" l="1"/>
  <c r="H208" i="17"/>
  <c r="H207" i="17" s="1"/>
  <c r="H205" i="17"/>
  <c r="H204" i="17"/>
  <c r="H203" i="17"/>
  <c r="H201" i="17"/>
  <c r="H200" i="17" s="1"/>
  <c r="H199" i="17"/>
  <c r="H196" i="17"/>
  <c r="H195" i="17"/>
  <c r="H194" i="17"/>
  <c r="H191" i="17"/>
  <c r="H189" i="17" s="1"/>
  <c r="H188" i="17"/>
  <c r="H187" i="17"/>
  <c r="H186" i="17"/>
  <c r="H185" i="17"/>
  <c r="H184" i="17"/>
  <c r="H181" i="17"/>
  <c r="H180" i="17"/>
  <c r="H179" i="17"/>
  <c r="H176" i="17"/>
  <c r="H175" i="17"/>
  <c r="H172" i="17"/>
  <c r="H171" i="17"/>
  <c r="H170" i="17" s="1"/>
  <c r="H169" i="17"/>
  <c r="H168" i="17" s="1"/>
  <c r="H167" i="17"/>
  <c r="H166" i="17" s="1"/>
  <c r="H165" i="17"/>
  <c r="H164" i="17"/>
  <c r="H163" i="17"/>
  <c r="H162" i="17"/>
  <c r="H161" i="17"/>
  <c r="H160" i="17"/>
  <c r="H158" i="17"/>
  <c r="H157" i="17" s="1"/>
  <c r="H156" i="17"/>
  <c r="H155" i="17" s="1"/>
  <c r="H154" i="17"/>
  <c r="H150" i="17"/>
  <c r="H148" i="17"/>
  <c r="H147" i="17" s="1"/>
  <c r="H146" i="17"/>
  <c r="H145" i="17"/>
  <c r="H144" i="17"/>
  <c r="H142" i="17"/>
  <c r="H141" i="17"/>
  <c r="H139" i="17"/>
  <c r="H138" i="17" s="1"/>
  <c r="H136" i="17"/>
  <c r="H135" i="17"/>
  <c r="H134" i="17" s="1"/>
  <c r="H133" i="17"/>
  <c r="H132" i="17" s="1"/>
  <c r="H131" i="17"/>
  <c r="H130" i="17"/>
  <c r="H128" i="17"/>
  <c r="H127" i="17" s="1"/>
  <c r="H126" i="17"/>
  <c r="H125" i="17"/>
  <c r="H123" i="17"/>
  <c r="H121" i="17"/>
  <c r="H120" i="17"/>
  <c r="H119" i="17"/>
  <c r="H117" i="17" s="1"/>
  <c r="H116" i="17"/>
  <c r="H115" i="17"/>
  <c r="H112" i="17"/>
  <c r="H111" i="17" s="1"/>
  <c r="H109" i="17"/>
  <c r="H108" i="17"/>
  <c r="H107" i="17" s="1"/>
  <c r="H106" i="17"/>
  <c r="H105" i="17" s="1"/>
  <c r="H104" i="17"/>
  <c r="H103" i="17"/>
  <c r="H101" i="17"/>
  <c r="H100" i="17" s="1"/>
  <c r="H99" i="17"/>
  <c r="H98" i="17" s="1"/>
  <c r="H91" i="17"/>
  <c r="H90" i="17" s="1"/>
  <c r="H88" i="17"/>
  <c r="H85" i="17"/>
  <c r="H79" i="17"/>
  <c r="H77" i="17"/>
  <c r="H73" i="17"/>
  <c r="H67" i="17"/>
  <c r="H65" i="17"/>
  <c r="H63" i="17"/>
  <c r="H61" i="17"/>
  <c r="H57" i="17"/>
  <c r="H48" i="17"/>
  <c r="H46" i="17"/>
  <c r="H44" i="17"/>
  <c r="H40" i="17"/>
  <c r="H38" i="17"/>
  <c r="H32" i="17"/>
  <c r="H30" i="17"/>
  <c r="H28" i="17"/>
  <c r="H24" i="17"/>
  <c r="H17" i="17" s="1"/>
  <c r="H122" i="17" l="1"/>
  <c r="H129" i="17"/>
  <c r="H140" i="17"/>
  <c r="H36" i="17"/>
  <c r="H102" i="17"/>
  <c r="H113" i="17"/>
  <c r="H174" i="17"/>
  <c r="H202" i="17"/>
  <c r="H159" i="17"/>
  <c r="H183" i="17"/>
  <c r="H192" i="17"/>
  <c r="H143" i="17"/>
  <c r="H149" i="17"/>
  <c r="H177" i="17"/>
  <c r="H472" i="17" l="1"/>
</calcChain>
</file>

<file path=xl/sharedStrings.xml><?xml version="1.0" encoding="utf-8"?>
<sst xmlns="http://schemas.openxmlformats.org/spreadsheetml/2006/main" count="1828" uniqueCount="636">
  <si>
    <t>Праздник, посвященный  Международному Дню защиты детей</t>
  </si>
  <si>
    <t>4</t>
  </si>
  <si>
    <t>5</t>
  </si>
  <si>
    <t>6</t>
  </si>
  <si>
    <t>3.1.</t>
  </si>
  <si>
    <t>4.1.</t>
  </si>
  <si>
    <t>5.1.</t>
  </si>
  <si>
    <t>8.1.</t>
  </si>
  <si>
    <t>ИТОГО</t>
  </si>
  <si>
    <t>Создание условий для организации досуга  и обеспечения услугами учреждений культуры жителей МО Колтушское СП</t>
  </si>
  <si>
    <t>1.1.</t>
  </si>
  <si>
    <t>Приобретение цветов</t>
  </si>
  <si>
    <t>1.2</t>
  </si>
  <si>
    <t xml:space="preserve">Приобретение ТМЦ (продукты) </t>
  </si>
  <si>
    <t>1.3</t>
  </si>
  <si>
    <t>Транспортные услуги</t>
  </si>
  <si>
    <t>1.4</t>
  </si>
  <si>
    <t>Приобретение ТМЦ (продукты)</t>
  </si>
  <si>
    <t>2</t>
  </si>
  <si>
    <t>2.1.</t>
  </si>
  <si>
    <t>3</t>
  </si>
  <si>
    <t>Услуги по экскурсионному обслуживанию</t>
  </si>
  <si>
    <t>Оплата взносов за участие</t>
  </si>
  <si>
    <t xml:space="preserve"> Услуги звукорежиссера</t>
  </si>
  <si>
    <t>Услуги по украшению зала</t>
  </si>
  <si>
    <t>6.1.</t>
  </si>
  <si>
    <t>Приобретение ТМЦ(продукты)</t>
  </si>
  <si>
    <t>Услуги по техническому обеспечению мероприятий</t>
  </si>
  <si>
    <t>8</t>
  </si>
  <si>
    <t>Приобретение ТМЦ (призы)</t>
  </si>
  <si>
    <t>9</t>
  </si>
  <si>
    <t>9.1.</t>
  </si>
  <si>
    <t>9.2.</t>
  </si>
  <si>
    <t>10</t>
  </si>
  <si>
    <t>10.1.</t>
  </si>
  <si>
    <t>11</t>
  </si>
  <si>
    <t>11.1.</t>
  </si>
  <si>
    <t>11.2.</t>
  </si>
  <si>
    <t>12</t>
  </si>
  <si>
    <t>12.1.</t>
  </si>
  <si>
    <t>13</t>
  </si>
  <si>
    <t>14</t>
  </si>
  <si>
    <t>14.1.</t>
  </si>
  <si>
    <t>15</t>
  </si>
  <si>
    <t>16</t>
  </si>
  <si>
    <t>Услуги медицинского сопровождения</t>
  </si>
  <si>
    <t>Услуги по организации питания</t>
  </si>
  <si>
    <t xml:space="preserve">Приобретение ТМЦ (шары) </t>
  </si>
  <si>
    <t>21</t>
  </si>
  <si>
    <t>Приобретение ТМЦ (подарки)</t>
  </si>
  <si>
    <t>22</t>
  </si>
  <si>
    <t>25</t>
  </si>
  <si>
    <t>26</t>
  </si>
  <si>
    <t>27</t>
  </si>
  <si>
    <t>28</t>
  </si>
  <si>
    <t>28.1</t>
  </si>
  <si>
    <t>28.2</t>
  </si>
  <si>
    <t>28.3</t>
  </si>
  <si>
    <t>29</t>
  </si>
  <si>
    <t>29.1</t>
  </si>
  <si>
    <t>Выпускной бал для школьников</t>
  </si>
  <si>
    <t>33.1</t>
  </si>
  <si>
    <t>35</t>
  </si>
  <si>
    <t>36</t>
  </si>
  <si>
    <t>37</t>
  </si>
  <si>
    <t>38</t>
  </si>
  <si>
    <t>40</t>
  </si>
  <si>
    <t>41</t>
  </si>
  <si>
    <t>42</t>
  </si>
  <si>
    <t>19</t>
  </si>
  <si>
    <t>19.1.</t>
  </si>
  <si>
    <t xml:space="preserve">Приобретение ТМЦ(продукты) </t>
  </si>
  <si>
    <t xml:space="preserve">Приобретение ТМЦ (призы) </t>
  </si>
  <si>
    <t>Заработная плата работников учреждения культуры</t>
  </si>
  <si>
    <t>Заработная плата работников учреждения культуры по платным услугам</t>
  </si>
  <si>
    <t>Начисления на заработную плату</t>
  </si>
  <si>
    <t>Начисления на заработную плату по платным услугам</t>
  </si>
  <si>
    <t>Расходы на услуги связи</t>
  </si>
  <si>
    <t>Расходы за аренду помещений</t>
  </si>
  <si>
    <t xml:space="preserve">Аттестация рабочих мест </t>
  </si>
  <si>
    <t>Медосмотр сотрудников</t>
  </si>
  <si>
    <t>Семинары по повышению квалификации</t>
  </si>
  <si>
    <t>ФГУП "ЦентрИнформ" электронная отчетность открытие доступа</t>
  </si>
  <si>
    <t>ФГУП" Почта России" подписка и доставка период.изданий</t>
  </si>
  <si>
    <t>Оплата труда внештатных руководителей кружков и студий с начисления</t>
  </si>
  <si>
    <t>Приобретение ТМЦ для организации платных услуг</t>
  </si>
  <si>
    <t>Лыжные гонки классическим стилем, I этап</t>
  </si>
  <si>
    <t>Турнир по минифутболу на первенство МО г. Кировска</t>
  </si>
  <si>
    <t>Лыжные гонки классическим стилем, I I этап</t>
  </si>
  <si>
    <t>Турнир по русским шашкам в честь  дня Рсоссийской Армии</t>
  </si>
  <si>
    <t>3.1</t>
  </si>
  <si>
    <t>Турнир по шахматам, в честь дня Российской Армии</t>
  </si>
  <si>
    <t>4.1</t>
  </si>
  <si>
    <t>Лыжные гонки свободным  стилем, III этап</t>
  </si>
  <si>
    <t>Турнир по настольному теннису, посвященный Дню защитника отечества, I этап, в том числе:</t>
  </si>
  <si>
    <t xml:space="preserve">Международный турнир по волейболу </t>
  </si>
  <si>
    <t>Турнир по настольному теннису, посвященный Дню метеоролога,  I I этап, в том числе:</t>
  </si>
  <si>
    <t>34</t>
  </si>
  <si>
    <t>Всероссийский турнир по волейболу памяти В.В.Файфера г. Рыбинск</t>
  </si>
  <si>
    <t>Турнир по настольному теннису, посвященный Всемирному  Дню тенниса, III этап, в том числе:</t>
  </si>
  <si>
    <t>Турнир по футболу кубок района</t>
  </si>
  <si>
    <t>Услуги аренды поля</t>
  </si>
  <si>
    <t>Турнир по русским шашкам в честь  Дня Победы</t>
  </si>
  <si>
    <t>Футбольный турнир, посвященный 9 мая</t>
  </si>
  <si>
    <t>10.1</t>
  </si>
  <si>
    <t>Легкоатлетический кросс на МО Колтушское поселение 1 этап</t>
  </si>
  <si>
    <t>Поездка в спортивный лагерь волейбольной команды</t>
  </si>
  <si>
    <t>Медицинское обслуживание мероприятия</t>
  </si>
  <si>
    <t>Чемпионат МО Колтушское СП по настольному теннису</t>
  </si>
  <si>
    <t>Легкоатлетический кросс на МО Колтушское поселение 2 этап</t>
  </si>
  <si>
    <t>Соревнования по скандинавской ходьбе "На тропу здоровья"</t>
  </si>
  <si>
    <t>Легкоатлетический кросс на МО Колтушское поселение 3 этап</t>
  </si>
  <si>
    <t>Открытое первенство города по волейболу</t>
  </si>
  <si>
    <t>Турнир по волейболу г. Кандопога респ. Карелия</t>
  </si>
  <si>
    <t>Турнир по шашкам в честь Дня Независимости</t>
  </si>
  <si>
    <t>Соревнования по спортивной гимнастике</t>
  </si>
  <si>
    <t>Новогодний турнир по шашкам</t>
  </si>
  <si>
    <t>Стартовые взносы на чемпионат СП по волейболу</t>
  </si>
  <si>
    <t>Всероссийский турнир по волейболу г. Тутаев</t>
  </si>
  <si>
    <t>ВСЕГО:</t>
  </si>
  <si>
    <t>Участие в Международном фестивале -конкурсе коллектива ансамбля "Радуга"</t>
  </si>
  <si>
    <t>Массовое праздничное мероприятие "Народное гуляние Масленица"</t>
  </si>
  <si>
    <t>Организация и проведение культурно-массового мероприятия, в т.ч.:</t>
  </si>
  <si>
    <t>Мероприятие,  посвященное Дню работника культуры</t>
  </si>
  <si>
    <t>Мероприятие, посвященное Дню пожарной охраны</t>
  </si>
  <si>
    <t>13.1.</t>
  </si>
  <si>
    <t>13.2.</t>
  </si>
  <si>
    <t xml:space="preserve">Участие ансамбля "Радуга" во Всероссийском фестивале-конкурсе </t>
  </si>
  <si>
    <t>Организация участия на 70 человек</t>
  </si>
  <si>
    <t>Мероприятие, посвященное Дню местного самоуправления</t>
  </si>
  <si>
    <t>Экскурсия краеведческая по изучению музеев и памятников ЛО и СПб</t>
  </si>
  <si>
    <t>17</t>
  </si>
  <si>
    <t>19.2.</t>
  </si>
  <si>
    <t>19.3.</t>
  </si>
  <si>
    <t>19.4.</t>
  </si>
  <si>
    <t>19.5.</t>
  </si>
  <si>
    <t>23</t>
  </si>
  <si>
    <t>Мероприятие, посвященное Всероссийскому дню библиотек</t>
  </si>
  <si>
    <t>24.2.</t>
  </si>
  <si>
    <t>Организация и проведение мероприятия</t>
  </si>
  <si>
    <t>Выпускной бал участников ансамбля "Радуга"</t>
  </si>
  <si>
    <t>Праздничный концерт, посвященный Дню России</t>
  </si>
  <si>
    <t>31</t>
  </si>
  <si>
    <t>Митинг, посвященный  Дню памяти и скорби</t>
  </si>
  <si>
    <t>31.1</t>
  </si>
  <si>
    <t>Мероприятие, посвященное Дню Военно-морского флота</t>
  </si>
  <si>
    <t>Праздник, посвященный Всероссийскому дню Семьи, любви и верности</t>
  </si>
  <si>
    <t>Экскурсия краеведческая многодневная</t>
  </si>
  <si>
    <t>39</t>
  </si>
  <si>
    <t xml:space="preserve">Участие в конкурсе "Ветеранское подворье" </t>
  </si>
  <si>
    <t>Мероприятие, посвященное Дню пожилого человека</t>
  </si>
  <si>
    <t>45.2</t>
  </si>
  <si>
    <t>49.1.</t>
  </si>
  <si>
    <t>51</t>
  </si>
  <si>
    <t>Праздник, посвященния в участники ансамбля "Радуга</t>
  </si>
  <si>
    <t xml:space="preserve">Встреча, посвященная Дню инвалида "Мы вместе" </t>
  </si>
  <si>
    <t>56.1</t>
  </si>
  <si>
    <t>Праздничный концерт, посвященный Дню матери</t>
  </si>
  <si>
    <t>Культурно-массовое мероприятие, посвященное празднованию Нового года на территории МО Колтушское СП</t>
  </si>
  <si>
    <t>Организация и проведение мероприятия, в т.ч.:</t>
  </si>
  <si>
    <t>1</t>
  </si>
  <si>
    <t>7</t>
  </si>
  <si>
    <t>18</t>
  </si>
  <si>
    <t>20</t>
  </si>
  <si>
    <t>24</t>
  </si>
  <si>
    <t>1.1</t>
  </si>
  <si>
    <t>1.5</t>
  </si>
  <si>
    <t>1.6</t>
  </si>
  <si>
    <t>3.2</t>
  </si>
  <si>
    <t>3.3</t>
  </si>
  <si>
    <t>3.4</t>
  </si>
  <si>
    <t>3.5</t>
  </si>
  <si>
    <t>3.6</t>
  </si>
  <si>
    <t>4.2</t>
  </si>
  <si>
    <t>5.1</t>
  </si>
  <si>
    <t>5.2</t>
  </si>
  <si>
    <t>9.1</t>
  </si>
  <si>
    <t>9.2</t>
  </si>
  <si>
    <t>11.1</t>
  </si>
  <si>
    <t>11.2</t>
  </si>
  <si>
    <t>11.3</t>
  </si>
  <si>
    <t>11.4</t>
  </si>
  <si>
    <t>13.1</t>
  </si>
  <si>
    <t>Организация пребывания</t>
  </si>
  <si>
    <t>Спортивно-массовое мероприятие, посвященное Дню физкультурника</t>
  </si>
  <si>
    <t>28.4</t>
  </si>
  <si>
    <t>28.5</t>
  </si>
  <si>
    <t>28.6</t>
  </si>
  <si>
    <t>28.7</t>
  </si>
  <si>
    <t>32</t>
  </si>
  <si>
    <t>33</t>
  </si>
  <si>
    <t>Услуги  по организации и проведению физкультурно-спортивных мероприятий: занятия по хоккею с шайбой</t>
  </si>
  <si>
    <t xml:space="preserve">Аренда футбольного поля </t>
  </si>
  <si>
    <t>Расходы на изготовление и выпуск муниципальных газет</t>
  </si>
  <si>
    <t>Организация массовых культурных мероприятий на территории МО Колтушское СП</t>
  </si>
  <si>
    <t>Приобретение георгиевских лент в кол-ве 500 шт.</t>
  </si>
  <si>
    <t>Отчет</t>
  </si>
  <si>
    <t xml:space="preserve">о ходе реализации муниципальной программы </t>
  </si>
  <si>
    <t xml:space="preserve">Реквизиты Постановления (дата, номер, наименование) об утверждении муниципальной программы  (с изменениями) </t>
  </si>
  <si>
    <t>№ п/п</t>
  </si>
  <si>
    <t>Исполнение графика реализации (выполнения) мероприятий муниципальной программы</t>
  </si>
  <si>
    <t xml:space="preserve">Дата утверждения и передачи согласованного технического задания и коммерческих предложений для формирования аукционной документации </t>
  </si>
  <si>
    <t>Срок размещения муниципального заказа в соответствии с планом-графиком</t>
  </si>
  <si>
    <t>ПЛАН, руб.</t>
  </si>
  <si>
    <t>Принято бюджетных обязательств или сумма по МК, руб.</t>
  </si>
  <si>
    <t>За счет субсидии, субвенции из бюджета ЛО</t>
  </si>
  <si>
    <t>За счет средств местного бюджета</t>
  </si>
  <si>
    <t xml:space="preserve">Наименование муниципальной программы в соответствии с постановлением об ее утверждении  </t>
  </si>
  <si>
    <t>Наименование мероприятия, адрес выполнения работ</t>
  </si>
  <si>
    <t>ФАКТ
Выполнено работ (услуг) по МК, руб.</t>
  </si>
  <si>
    <t>Заключение МК на выполнение работ по объекту (№ МК, дата, наименование подрядчика)</t>
  </si>
  <si>
    <t>Исполнение мероприятий муниципальной программы</t>
  </si>
  <si>
    <t>Примечание</t>
  </si>
  <si>
    <t>Софинансирование стимулирующих выплат</t>
  </si>
  <si>
    <t>закупка у ед.поставщика</t>
  </si>
  <si>
    <t>январь 2018</t>
  </si>
  <si>
    <t>Услуги по организации мероприятия</t>
  </si>
  <si>
    <t>«Развитие и сохранение культуры, спорта и искусства на территории муниципального образования Колтушское сельское поселение Всеволожского муниципального района Ленинградской области в 2018-2020 гг.»</t>
  </si>
  <si>
    <t>Период реализации: 2018-2020 гг.</t>
  </si>
  <si>
    <t>Постановление № 395 от 13.11.2017 (с изменениями, внесенными постановлениями: № 32 от 26.01.2018 г.)</t>
  </si>
  <si>
    <t>Праздничный концерт, посвященный  Дню снятия Блокады Ленинграда</t>
  </si>
  <si>
    <t xml:space="preserve">Приобретение ТМЦ (цветы) </t>
  </si>
  <si>
    <t>1.2.</t>
  </si>
  <si>
    <t>1.3.</t>
  </si>
  <si>
    <t>Услуги звукорежиссера</t>
  </si>
  <si>
    <t>1.4.</t>
  </si>
  <si>
    <t>1.5.</t>
  </si>
  <si>
    <t>1.6.</t>
  </si>
  <si>
    <t>Приобретение ТМЦ (открытки)</t>
  </si>
  <si>
    <t>1.7.</t>
  </si>
  <si>
    <t>1.8.</t>
  </si>
  <si>
    <t>Приобретение ТМЦ (наградная продукция)</t>
  </si>
  <si>
    <t>Экскурсия профориентационная</t>
  </si>
  <si>
    <t xml:space="preserve">Праздник, посвященный  Дню снятия Блокады Ленинграда (организация досуга для занимающихся в кружках и студиях ЦКД пос. Воейково) </t>
  </si>
  <si>
    <t xml:space="preserve">Экскурсия краеведческая по изучению музеев и памятников ЛО и СПб </t>
  </si>
  <si>
    <t>Праздничный концерт, посвященный Дню защитника Отечества</t>
  </si>
  <si>
    <t>7.1.</t>
  </si>
  <si>
    <t>7.2.</t>
  </si>
  <si>
    <t>7.3.</t>
  </si>
  <si>
    <t>7.4.</t>
  </si>
  <si>
    <t>Участие  в  фестивалях, конкурсах студий МКУ "Колтушская ЦКС"</t>
  </si>
  <si>
    <t xml:space="preserve">Открытая встреча  с исследователями Арктики и Антарктики, фотовыставка ( ЦКД пос. Воейково) </t>
  </si>
  <si>
    <t xml:space="preserve">Праздник, посвященный  Международному женскому дню "Прекрасной женщины портрет" (организация досуга для  занимающихся в кружках и студиях ЦКД пос. Воейково) </t>
  </si>
  <si>
    <t>Праздничный концерт, посвященный Международному женскому дню, для приглашенных.</t>
  </si>
  <si>
    <t>12.1.1.</t>
  </si>
  <si>
    <t>Услуги по организации концертной программы</t>
  </si>
  <si>
    <t>12.1.2.</t>
  </si>
  <si>
    <t>12.1.3.</t>
  </si>
  <si>
    <t>12.1.4.</t>
  </si>
  <si>
    <t>12.1.5.</t>
  </si>
  <si>
    <t>12.1.6.</t>
  </si>
  <si>
    <t>12.1.7</t>
  </si>
  <si>
    <t xml:space="preserve">Приобретение билетов </t>
  </si>
  <si>
    <t>13.3.</t>
  </si>
  <si>
    <t>Праздник, посвященный Дню космонавтики (организация досуга для занимающихся в кружках и студиях ЦКД пос. Воейково)</t>
  </si>
  <si>
    <t>15.1.</t>
  </si>
  <si>
    <t>16.</t>
  </si>
  <si>
    <t>16.1.</t>
  </si>
  <si>
    <t>17.1.</t>
  </si>
  <si>
    <t>17.2.</t>
  </si>
  <si>
    <t>17.3.</t>
  </si>
  <si>
    <t>18.1.</t>
  </si>
  <si>
    <t>Экскурсия краеведческая для работников муниципальных учреждений МО Колтушское СП</t>
  </si>
  <si>
    <t>20.1.</t>
  </si>
  <si>
    <t xml:space="preserve">Митинг, посвященный годовщине Дня Победы (67 Армия) </t>
  </si>
  <si>
    <t>21.1.</t>
  </si>
  <si>
    <t>21.2.</t>
  </si>
  <si>
    <t>21.3.</t>
  </si>
  <si>
    <t>21.4.</t>
  </si>
  <si>
    <t>21.5.</t>
  </si>
  <si>
    <t>Праздничное мероприятие, посвященное годовщине Дня Победы</t>
  </si>
  <si>
    <t>22.1.</t>
  </si>
  <si>
    <t>22.2.</t>
  </si>
  <si>
    <t>Экскурсия краеведческая по изучению музеев и памятников ЛО и СПб, посвященная годовщине Дня победы.</t>
  </si>
  <si>
    <t>24.1.</t>
  </si>
  <si>
    <t>Экскурсия краеведческая по изучению музеев и памятников ЛО и СПб, посвященная годовщине Дня победы, для ветеранов МО Колтушское СП</t>
  </si>
  <si>
    <t>25.1.</t>
  </si>
  <si>
    <t>25.2.</t>
  </si>
  <si>
    <t>Мероприятие, посвященное выпуску дошкольников из ДДУ       (4 учреждения Разметелево, Хапо-ое, Колтуши, д.Старая)</t>
  </si>
  <si>
    <t>26.1.</t>
  </si>
  <si>
    <t>26.2.</t>
  </si>
  <si>
    <t>Мероприятие, посвященное последнему звонку школьников 9-11 классы    (2 учреждения Разметелево, Колтуши)</t>
  </si>
  <si>
    <t>27.1.</t>
  </si>
  <si>
    <t>28.1.</t>
  </si>
  <si>
    <t>Праздник, посвященный Дню Славянской письменности и культуры (организация досуга для жителей, занимающихся в кружках и студиях ЦКД пос. Воейково)</t>
  </si>
  <si>
    <t>29.1.</t>
  </si>
  <si>
    <t>30.1.</t>
  </si>
  <si>
    <t>30.2.</t>
  </si>
  <si>
    <t>Праздник, посвященный  Международному Дню защиты детей (организация досуга для жителей, занимающихся в кружках и студиях ЦКД пос. Воейково)</t>
  </si>
  <si>
    <t>32.1.</t>
  </si>
  <si>
    <t xml:space="preserve">Тематический вечер, посвященный Дню рождения Пушкина (организация досуга для жителей, занимающихся в кружках и студиях ЦКД пос. Воейково) </t>
  </si>
  <si>
    <t>34.1.</t>
  </si>
  <si>
    <t>Экскурсия краеведческая по изучению музеев и памятников ЛО и СПб для жителей, занимающихся в кружках и студиях, любительских объединениях.</t>
  </si>
  <si>
    <t>35.1.</t>
  </si>
  <si>
    <t>Мероприятие,  посвященное Дню медика</t>
  </si>
  <si>
    <t>36.1.</t>
  </si>
  <si>
    <t>36.2.</t>
  </si>
  <si>
    <t>36.3</t>
  </si>
  <si>
    <t>37.1.</t>
  </si>
  <si>
    <t>37.2.</t>
  </si>
  <si>
    <t>37.3.</t>
  </si>
  <si>
    <t>37.4.</t>
  </si>
  <si>
    <t>38.1.</t>
  </si>
  <si>
    <t>38.2.</t>
  </si>
  <si>
    <t>38.3.</t>
  </si>
  <si>
    <t>38.4.</t>
  </si>
  <si>
    <t>39.1.</t>
  </si>
  <si>
    <t>40.1.</t>
  </si>
  <si>
    <t>40.2.</t>
  </si>
  <si>
    <t>Мероприятия досуговые: конкурсы, игры, часы досуга (организации летнего досуга  детей, подростков и молодежи на территории Колтушского СП)</t>
  </si>
  <si>
    <t>41.2.</t>
  </si>
  <si>
    <t>42.1.</t>
  </si>
  <si>
    <t xml:space="preserve">Участие коллектива ансамбля "Радуга" в Международном фестивале -конкурсе </t>
  </si>
  <si>
    <t>43.1.</t>
  </si>
  <si>
    <t>44.1.</t>
  </si>
  <si>
    <t>45.1.</t>
  </si>
  <si>
    <t>46.1.</t>
  </si>
  <si>
    <t>46.2.</t>
  </si>
  <si>
    <t>46.3.</t>
  </si>
  <si>
    <t>47.1.</t>
  </si>
  <si>
    <t>Концерт, посвященный  Дню начала Блокады</t>
  </si>
  <si>
    <t>48.1.</t>
  </si>
  <si>
    <t>48.1.1</t>
  </si>
  <si>
    <t>Услуги по организации концертной программы (музыкально-литературная композиция)</t>
  </si>
  <si>
    <t>48.1.2.</t>
  </si>
  <si>
    <t>48.1.3.</t>
  </si>
  <si>
    <t>48.1.4.</t>
  </si>
  <si>
    <t>Экскурсия краеведческая по изучению музеев и памятников ЛО и СПб, Пушкинские места, музей-усадьба "Приютино", для жителей, занимающихся в кружках и студиях, любительских объединениях</t>
  </si>
  <si>
    <t>51.1.</t>
  </si>
  <si>
    <t>52.1.</t>
  </si>
  <si>
    <t>52.2.</t>
  </si>
  <si>
    <t>52.3.</t>
  </si>
  <si>
    <t>52.4.</t>
  </si>
  <si>
    <t>52.5.</t>
  </si>
  <si>
    <t>52.6.</t>
  </si>
  <si>
    <t>53.</t>
  </si>
  <si>
    <t>53.1.</t>
  </si>
  <si>
    <t>54.1.</t>
  </si>
  <si>
    <t>Организация транспортных услуг для перевозки жителей МО Колтушское СП разных возрастных категорий к месту проведения мероприятий местного, районного, областного и регионального уровня.</t>
  </si>
  <si>
    <t>55.1.</t>
  </si>
  <si>
    <t>57</t>
  </si>
  <si>
    <t>Мероприятие "День открытых дверей, день хороших друзей" (организация досуга для жителей, занимающихся в кружках и студиях ЦКД пос. Воейково)</t>
  </si>
  <si>
    <t>57.1.</t>
  </si>
  <si>
    <t>57.2.</t>
  </si>
  <si>
    <t>Приобретение ТМЦ (сувенирная продукция)</t>
  </si>
  <si>
    <t>Мероприятие, посвященное Дню учителя</t>
  </si>
  <si>
    <t>58.1.</t>
  </si>
  <si>
    <t>58.2.</t>
  </si>
  <si>
    <t>58.3.</t>
  </si>
  <si>
    <t>Экскурсия краеведческая по изучению музеев и памятников ЛО и СПб для жителей, занимающихся в кружках и студиях, ЛО.</t>
  </si>
  <si>
    <t>59.1.</t>
  </si>
  <si>
    <t xml:space="preserve">Митинг, посвященный годовщине образования (67 Армия) </t>
  </si>
  <si>
    <t>60.1.</t>
  </si>
  <si>
    <t>60.2.</t>
  </si>
  <si>
    <t>60.3.</t>
  </si>
  <si>
    <t>60.4.</t>
  </si>
  <si>
    <t>60.5.</t>
  </si>
  <si>
    <t>61.1.</t>
  </si>
  <si>
    <t>61.2.</t>
  </si>
  <si>
    <t>62.1.</t>
  </si>
  <si>
    <t>62.2.</t>
  </si>
  <si>
    <t>62.3.</t>
  </si>
  <si>
    <t>62.4.</t>
  </si>
  <si>
    <t>62.5.</t>
  </si>
  <si>
    <t>62.6.</t>
  </si>
  <si>
    <t>62.7.</t>
  </si>
  <si>
    <t>63.1.</t>
  </si>
  <si>
    <t>64.</t>
  </si>
  <si>
    <t xml:space="preserve">Поздравление  80, 85, 90, 95, 100-летних Юбиляров </t>
  </si>
  <si>
    <t>64.1.</t>
  </si>
  <si>
    <t>64.2.</t>
  </si>
  <si>
    <t>65.1.</t>
  </si>
  <si>
    <t>67</t>
  </si>
  <si>
    <t>Праздник Новый год(организация досуга для жителей, занимающихся в кружках и студиях ЦКД пос. Воейково)</t>
  </si>
  <si>
    <t>67.1.</t>
  </si>
  <si>
    <t>68</t>
  </si>
  <si>
    <t>Праздничный Юбилейный концерт ,посвященный 25 летию ансамбля "Радуга"</t>
  </si>
  <si>
    <t>68.1</t>
  </si>
  <si>
    <t>68.2</t>
  </si>
  <si>
    <t>68.3</t>
  </si>
  <si>
    <t>Организация питания детей участников  концерта</t>
  </si>
  <si>
    <t>I</t>
  </si>
  <si>
    <t>Дог. № 05/18 
от 23.01.2018
Читян Л.В. ИП</t>
  </si>
  <si>
    <t>Организация и проведение культурно-массового мероприятия</t>
  </si>
  <si>
    <t>10.2</t>
  </si>
  <si>
    <t>Массовое праздничное мероприятие, посвященное 73 годовщине Дня Победы  7-8-9 мая 5 площадок (Разметелево, Озерки, Колтуши, Канисты, Воейково)</t>
  </si>
  <si>
    <t>23.1.</t>
  </si>
  <si>
    <t>23.1.1.</t>
  </si>
  <si>
    <t xml:space="preserve">Приобретение ТМЦ (венки) </t>
  </si>
  <si>
    <t>23.1.2.</t>
  </si>
  <si>
    <t>23.1.3</t>
  </si>
  <si>
    <t>23.1.4.</t>
  </si>
  <si>
    <t>23.1.5.</t>
  </si>
  <si>
    <t>23.1.6.</t>
  </si>
  <si>
    <t>23.1.7.</t>
  </si>
  <si>
    <t>23.2.</t>
  </si>
  <si>
    <t>Массовое праздничное мероприятие, посвященное Международному Дню защиты детей, 2 площадки (Колтуши, Разметелево)</t>
  </si>
  <si>
    <t>33.1.</t>
  </si>
  <si>
    <t>33.2</t>
  </si>
  <si>
    <t>Концерт, посвященный  Дню Колтушского СП, 1 площадка (Колтуши)</t>
  </si>
  <si>
    <t>50.1.</t>
  </si>
  <si>
    <t>50.1.1.</t>
  </si>
  <si>
    <t>50.1.2.</t>
  </si>
  <si>
    <t>Услуги по украшению сцены</t>
  </si>
  <si>
    <t>50.1.3.</t>
  </si>
  <si>
    <t>Услуги по  изготовлению баннера</t>
  </si>
  <si>
    <t>50.1.4.</t>
  </si>
  <si>
    <t>50.1.5.</t>
  </si>
  <si>
    <t>50.1.6.</t>
  </si>
  <si>
    <t>50.2.</t>
  </si>
  <si>
    <t>66.1</t>
  </si>
  <si>
    <t>Уличный новогодний концерт, 3 площадки (Разметелево, Хапо-ое,д. Старая ); концерт в ресторане на озере для приглашенных с фуршетом и дискотекой</t>
  </si>
  <si>
    <t>Уличные Новогодние представления д/детей, 4 площадки (Разметелево, Хапо-ое, Колтуши, д.Старая, Воейково)</t>
  </si>
  <si>
    <t>66.2</t>
  </si>
  <si>
    <t>КБК</t>
  </si>
  <si>
    <t>II</t>
  </si>
  <si>
    <t>Обеспечение деятельности казенных учреждений культуры в МО Колтушское СП</t>
  </si>
  <si>
    <t>Расходы на услуги связи (почтовые отправления)</t>
  </si>
  <si>
    <t>6.2.</t>
  </si>
  <si>
    <t>Расходы на содержание имущества ()</t>
  </si>
  <si>
    <t xml:space="preserve">Увеличение стоимости  ОС </t>
  </si>
  <si>
    <t>Увеличение стоимости ОС</t>
  </si>
  <si>
    <t>Увеличение стоимости ОС в т.ч. по платным услугам</t>
  </si>
  <si>
    <t>11.3.</t>
  </si>
  <si>
    <t xml:space="preserve">Расходы на услуги связи </t>
  </si>
  <si>
    <t xml:space="preserve">Расходы на содержание имущества ремонт и заправка картриджей </t>
  </si>
  <si>
    <t xml:space="preserve">Увеличение стоимости ОС </t>
  </si>
  <si>
    <t>Вывоз, размещение и обезвреживание отходов</t>
  </si>
  <si>
    <t>ЧУ "Бюджет" подписка на журнал и эл.версию</t>
  </si>
  <si>
    <t>Приобретение ТМЦ ( для организации работы кружков и студий)</t>
  </si>
  <si>
    <t>Приобретение канцелярских  товаров</t>
  </si>
  <si>
    <t>Услуги правового характера (нотариальные услуги)</t>
  </si>
  <si>
    <t>Тех.обеспечение ДК Воейково</t>
  </si>
  <si>
    <t>Расходы на оплату налогов, сборов и иных платежей</t>
  </si>
  <si>
    <t>Охранные услуги здания (инв. № 10092)   ЛО, Всеволожский район, п. Воейково, д.87б</t>
  </si>
  <si>
    <t>Противопожарные мероприятия (Договор  на обслуживание противопожарной сигнализации)</t>
  </si>
  <si>
    <r>
      <t xml:space="preserve">Сезонная промывка и опрессовка  системы отопления </t>
    </r>
    <r>
      <rPr>
        <sz val="10"/>
        <rFont val="Arial"/>
        <family val="2"/>
        <charset val="204"/>
      </rPr>
      <t xml:space="preserve"> (ЛО, </t>
    </r>
    <r>
      <rPr>
        <sz val="10"/>
        <rFont val="Times New Roman"/>
        <family val="1"/>
        <charset val="204"/>
      </rPr>
      <t>Всеволожский р-н п.Воейково д.87 б, здание ДК)</t>
    </r>
  </si>
  <si>
    <t xml:space="preserve">Техническое обслуживание узлов учета т/энергии здания </t>
  </si>
  <si>
    <t>Коммунальные услуги по содержанию здания (Договор на электроснабжение)</t>
  </si>
  <si>
    <t>Коммунальные услуги по содержанию здания (Договор на водоснабжение)</t>
  </si>
  <si>
    <t>Коммунальные услуги по содержанию здания (Договор на водоотведение)</t>
  </si>
  <si>
    <t>Коммунальные услуги по содержанию здания (Договор на теплоснабжение)</t>
  </si>
  <si>
    <t>Камеры видеонаблюдения здания (Ленинградская обл., Всеволожский р-н п.Воейково д.87б)</t>
  </si>
  <si>
    <t>Коммунальные услуги по содержанию помещения библиотеки д.Хапо-Ое д.1 пом.1(Договор на водоснабжение)</t>
  </si>
  <si>
    <t>Коммунальные услуги по содержанию помещения библиотеки д.Хапо-Ое д.1 пом.1(Договор на оплату стоков)</t>
  </si>
  <si>
    <t>Коммунальные услуги по содержанию помещения библиотеки д.Хапо-Ое д.1 пом.1(Договор на теплоснабжение )</t>
  </si>
  <si>
    <t>III</t>
  </si>
  <si>
    <t>Заработная плата работников учреждения культуры софинансирование стимулирующих выплат из местного бюджета</t>
  </si>
  <si>
    <t>Начисления на заработную плату  софинансирование стимулирующих выплат из местного бюджета</t>
  </si>
  <si>
    <t>IV</t>
  </si>
  <si>
    <t>Стимулирующие выплаты из бюджета ЛО</t>
  </si>
  <si>
    <t>Заработная плата работников учреждения культуры  стимулирующие выплаты из областного бюджета</t>
  </si>
  <si>
    <t>Начисления на заработную плату  стимулирующие выплаты из областного бюджета</t>
  </si>
  <si>
    <t>V</t>
  </si>
  <si>
    <t>Организация и проведение физкультурно-оздоровительных и спортивных мероприятий</t>
  </si>
  <si>
    <t>7.5.</t>
  </si>
  <si>
    <t>7.6.</t>
  </si>
  <si>
    <t>7.7.</t>
  </si>
  <si>
    <t>Всероссийский турнир по Русским Шашкам</t>
  </si>
  <si>
    <t>Услуги по организации  пребывания  и проведения турнира</t>
  </si>
  <si>
    <t>14.2.</t>
  </si>
  <si>
    <t>14.3.</t>
  </si>
  <si>
    <t>14.4.</t>
  </si>
  <si>
    <t>15.2.</t>
  </si>
  <si>
    <t>15.3.</t>
  </si>
  <si>
    <t>Турнир по шахматам, в честь Дня Победы</t>
  </si>
  <si>
    <t>16.2.</t>
  </si>
  <si>
    <t>16.3.</t>
  </si>
  <si>
    <t>18.2.</t>
  </si>
  <si>
    <t>18.3.</t>
  </si>
  <si>
    <t>18.4.</t>
  </si>
  <si>
    <t>18.5.</t>
  </si>
  <si>
    <t>18.6.</t>
  </si>
  <si>
    <t>Велодуатлон для детей и подростков</t>
  </si>
  <si>
    <t>Футбольный турнир к Дню защиты детей</t>
  </si>
  <si>
    <t xml:space="preserve">Открытый чемпионат МО Колтушское СП по пляжному волейболу </t>
  </si>
  <si>
    <t>22.3.</t>
  </si>
  <si>
    <t>23.3.</t>
  </si>
  <si>
    <t>Велодуатлон для взрослых</t>
  </si>
  <si>
    <t>24.3.</t>
  </si>
  <si>
    <t>24.4.</t>
  </si>
  <si>
    <t>24.5.</t>
  </si>
  <si>
    <t>25.3.</t>
  </si>
  <si>
    <t>26.3.</t>
  </si>
  <si>
    <t>26.4.</t>
  </si>
  <si>
    <t>26.5.</t>
  </si>
  <si>
    <t>26.6.</t>
  </si>
  <si>
    <t>27.2.</t>
  </si>
  <si>
    <t>27.3.</t>
  </si>
  <si>
    <t>27.4.</t>
  </si>
  <si>
    <t>31.2.</t>
  </si>
  <si>
    <t>32.2.</t>
  </si>
  <si>
    <t>32.3.</t>
  </si>
  <si>
    <t>32.4.</t>
  </si>
  <si>
    <t>33.2.</t>
  </si>
  <si>
    <t xml:space="preserve">Вознаграждение за услуги по проведению занятий в студиях  по хоккею с шайбой на льду (вознаграждение по ГПД + начисления) </t>
  </si>
  <si>
    <t>ИТОГО:</t>
  </si>
  <si>
    <t>VI</t>
  </si>
  <si>
    <t>Организация и проведение оздоровительной кампании детей и мероприятий молодежной политики</t>
  </si>
  <si>
    <t xml:space="preserve">Мероприятие "Живу свободно!Спортивно!Творчески! Активно!Позитивно!" </t>
  </si>
  <si>
    <t>Оплата поощрений победителям, призерам, номинантам</t>
  </si>
  <si>
    <t xml:space="preserve">Этнофестиваль </t>
  </si>
  <si>
    <t>2.2.</t>
  </si>
  <si>
    <t>2.3.</t>
  </si>
  <si>
    <t>2.4.</t>
  </si>
  <si>
    <t>Услуги по проведению мастер-классов</t>
  </si>
  <si>
    <t>2.5.</t>
  </si>
  <si>
    <t>VII</t>
  </si>
  <si>
    <t>Обеспечение жителей информацией о социально-экономическом и культурном развитии муниципального образования, о развитии общественной инфраструктуры и иной официальной информацией.</t>
  </si>
  <si>
    <t xml:space="preserve">1. </t>
  </si>
  <si>
    <t>март 2018</t>
  </si>
  <si>
    <t>11.01.18.</t>
  </si>
  <si>
    <t>16.01.18.</t>
  </si>
  <si>
    <t>29.11.17.</t>
  </si>
  <si>
    <t>февраль 2018</t>
  </si>
  <si>
    <t>МК № 24/18
от 03.04.18.
Эвентус ООО</t>
  </si>
  <si>
    <t>Дог. № 06/18
от 25.01.2018
Петровицкий С.Н.ИП</t>
  </si>
  <si>
    <t>МК № 08/18
от 26.02.18.
ИВЦ ООО</t>
  </si>
  <si>
    <t>Дог. № 1
от 19.01.18.
Павлова Т.О. ИП</t>
  </si>
  <si>
    <t>Дог. № 07-1/18 
от 22.02.2018
Петровицкий С.Н. ИП</t>
  </si>
  <si>
    <t>январь-декабрь 2018</t>
  </si>
  <si>
    <t>18.01.18.</t>
  </si>
  <si>
    <t>Дог. № 13/18
от 27.02.18.
"Мастерская Шоу-программ пародии и юмора "Пластилиновая ворона" ООО</t>
  </si>
  <si>
    <t>Дог. № 17/18
от 14.03.18. 
СПб ГБУК "Санкт-Петербургский государственный музыкально-драматический театр "Буфф"</t>
  </si>
  <si>
    <t>Дог. № 084/18
от 12.03.18.
Про Мир ООО</t>
  </si>
  <si>
    <t>Дог. № 060/18
от 08.02.18.
Про Мир ООО</t>
  </si>
  <si>
    <t>апрель 2018</t>
  </si>
  <si>
    <t>янв-дек 2018</t>
  </si>
  <si>
    <t>Дог. № 22/18
от 23.04.18.
СПб ГБУК "Санкт-Петербургский государственный музыкально-драматический театр "Буфф"</t>
  </si>
  <si>
    <t>Дог. №  055/2018
от 24.01.18.
ГБУЗ ЛО "Всеволожская КМБ"</t>
  </si>
  <si>
    <t>май 2018</t>
  </si>
  <si>
    <t>29.01.18.</t>
  </si>
  <si>
    <t>МК № 07/18
от 13.02.18.
Бравиков Е.С. ИП</t>
  </si>
  <si>
    <t>21.03.18.</t>
  </si>
  <si>
    <t>июнь 2018</t>
  </si>
  <si>
    <t>август 2018</t>
  </si>
  <si>
    <t>17.01.18.</t>
  </si>
  <si>
    <t>Дог. № 02/18
от 15.01.18.
ГБНОУ  «СПБ ГДТЮ»</t>
  </si>
  <si>
    <t>Дог. № 04/18
от 23.01.18.
Павлова Т.О. ИП</t>
  </si>
  <si>
    <t>январь 2016</t>
  </si>
  <si>
    <t>Дог. № 1/01-16 
от 11.01.16.
ТК Малахит ООО</t>
  </si>
  <si>
    <t>январь 2019</t>
  </si>
  <si>
    <t>январь 2020</t>
  </si>
  <si>
    <t>08.12.17.</t>
  </si>
  <si>
    <t>Дог. № 247000008072
от 09.01.18.
Ростелеком ПАО</t>
  </si>
  <si>
    <t>Дог. № 247000008072-РТК
от 09.01.18.
Ростелеком ПАО</t>
  </si>
  <si>
    <t>Дог. № 182
от 09.01.18.
Колтушский интернет ООО</t>
  </si>
  <si>
    <t>Дог. № 41-18/ТКО
от 09.01.18.
Сметсберг ООО</t>
  </si>
  <si>
    <t>Дог. №  КЭ47/КЭ/КЭ100-7253351
от 16.02.18.
ЦентрИнформ АО</t>
  </si>
  <si>
    <t xml:space="preserve">Дог. №  16/18
от 13.03.18.
№ 20/18 от 21.03.18
№ 21/18 от 21.03.18.
Каролина Текстиль ООО
</t>
  </si>
  <si>
    <t>Дог. № 14/18
 от 27.02.18.
АВК СТРОЙ ООО</t>
  </si>
  <si>
    <t>Дог. № 977/18-ПЦО
от 09.01.18.
Охранное предприятие СТАФ СЕКЬЮРИТИ ООО</t>
  </si>
  <si>
    <t>Дог. № 07/18
от 23.01.18.
Сметсберг ООО</t>
  </si>
  <si>
    <t>МК № 11/18
от 27.02.18.
Квартет ООО</t>
  </si>
  <si>
    <t>Дог. № 18/18
от 15.03.18.
Комус-Петербург ООО</t>
  </si>
  <si>
    <t xml:space="preserve">МК № 09/18
от 27.02.18.
Фисун Н.В. ИП
Дог. № 18/18
от 15.03.18.
Комус-Петербург ООО
</t>
  </si>
  <si>
    <t>11.12.17.</t>
  </si>
  <si>
    <t>декабрь 2017</t>
  </si>
  <si>
    <t>МК № 02/18
от 09.01.18.
МЕДИА-СЕТЬ ООО</t>
  </si>
  <si>
    <t>18.12.17.</t>
  </si>
  <si>
    <t>МК № 06/18
от 12.02.18.
"Мастерская Шоу-программ пародии и юмора "Пластилиновая ворона" ООО</t>
  </si>
  <si>
    <t>МК № 07/18
от 12.02.18.
Комфорт-М ООО</t>
  </si>
  <si>
    <t>06.12.17.</t>
  </si>
  <si>
    <t>Штатное расписание, утвержденное Приказом № 63 от 06.12.17.</t>
  </si>
  <si>
    <t>сотрудники</t>
  </si>
  <si>
    <t>Дог. № 32/18
от 27.04.18.
Саранчина Т.Н. ИП</t>
  </si>
  <si>
    <t>Дог. № 33/18
от 27.04.18.
Павлова Т.О. ИП</t>
  </si>
  <si>
    <t>Дог. № 18/18
от 15.03.18.
Комус-Петербург ООО
МК № 30/18
от 26.04.18.
Хобби Маркет ООО</t>
  </si>
  <si>
    <t>Дог. № 39/18
от 08.06.18.
Петровицкий С.Н. ИП</t>
  </si>
  <si>
    <t>МК № 29/18
от 26.04.18.
Лотос ООО
МК № 27.04.18.
от 24.04.18.
Антания ООО</t>
  </si>
  <si>
    <t>МК № 31/18
от 24.04.18.
Бормотин В.В. ИП</t>
  </si>
  <si>
    <t>МК № 26/18
от 24.04.18.
Ольвия ООО
МК № 31/18
от 24.04.18.
Бормотин В.В. ИП</t>
  </si>
  <si>
    <t>МК № 26/18
от 24.04.18.
Ольвия ООО</t>
  </si>
  <si>
    <t>МК № 28/18
от 26.04.18.
Лотос ООО</t>
  </si>
  <si>
    <t>Дог. № 15/18
от 27.02.18.
СЗКО ООО
Дог. № 20
от 23.04.18.
Мирома книга ООО</t>
  </si>
  <si>
    <t>ФГУП Почта России от 17.03.18; 15.05.18.</t>
  </si>
  <si>
    <t>МК № 14/18
от 04.05.18.
"Мастерская Шоу-программ пародии и юмора "Пластилиновая ворона" ООО</t>
  </si>
  <si>
    <t>МК № 23/18
от 18.05.18.
"Мастерская Шоу-программ пародии и юмора "Пластилиновая ворона" ООО</t>
  </si>
  <si>
    <t>МК № 10/18
от 27.02.18.
Простые решения ООО
Колабухов П.А. ИП от 27.02.18.</t>
  </si>
  <si>
    <t>Дог. № АК-18-054
от 12.02.18.
Академия керамики ООО
Дог. № 1332-о23
от 13.03.18.
ЧОУ ДПО ИПБОТСП
Дог. № 1331-о23
от 12.03.18.
ЧОУ ДПО ИПБОТСП
Дог. № О20180416/9 
от 16.04.18.
Хелметс ООО
Дог. № 36/18
от 17.05.18.
Университет Госзакупок АНО ДПО
Дог. № 13
от 28.05.18.
Карандашев Д.Ю. ИП</t>
  </si>
  <si>
    <t>Дог. № 296345807
от 20.04.18.
МЦФЭР-пресс ООО
Дог. № 300354372
от 20.04.18.
МЦФЭР-пресс ООО
Дог. № 3745
от 14.05.18.
Почта России ФГУП</t>
  </si>
  <si>
    <t>Дог. № 19/18
от 21.03.18.
ИД Рост ООО</t>
  </si>
  <si>
    <t>Приобретение хозяйст.,санитарных  и расходных материалов для содержания помещений; черенки для флагов</t>
  </si>
  <si>
    <t>Дог. № 1 от 09.01.18. 
Цветкова Н.А.
Дог. № 6 от 01.02.18. 
Шашкова К.А.
Дог. № 7 от 30.03.18.
Степанова Е.В.
Дог. № 8 от 30.03.18
Королева Т.В.</t>
  </si>
  <si>
    <t>Дог. № 43т/18
от  30.03.18.
Дог. № 015-ПВ-2018
от 02.04.18.
Сварог ООО</t>
  </si>
  <si>
    <t>Дог. № 40-18
от 21.03.18.
Привалов П.А. ИП</t>
  </si>
  <si>
    <t>Дог. № 47120000309471
от 01.05.18.
Петербургская сбытовая компания АО</t>
  </si>
  <si>
    <t>Дог. № К-29.1-ВС-Б
от 21.03.18.
ЛОКС ООО</t>
  </si>
  <si>
    <t>Дог. № К-29.2-ВС-Б
от 21.03.18.
ЛОКС ООО</t>
  </si>
  <si>
    <t>Дог. № Р-67.1-ВС-Б
от 21.03.18.
ЛОКС ООО</t>
  </si>
  <si>
    <t>Дог. № Р-68.2-ВС-Б
от 21.03.18.
ЛОКС ООО</t>
  </si>
  <si>
    <t>Лента ООО 
от 25.01.18.</t>
  </si>
  <si>
    <t>Лотос ООО 
от 09.02.18.</t>
  </si>
  <si>
    <t>МК № 25/18
от 23.04.18.
Мегалот ООО</t>
  </si>
  <si>
    <t>Лента ООО 
от 09.02.18.</t>
  </si>
  <si>
    <t>Дог. № 34/18
от 03.05.18.
Нилов В.Н. ИП</t>
  </si>
  <si>
    <t>Приобретение ТМЦ (наградная продукция, грамоты)</t>
  </si>
  <si>
    <t>Приобретение ТМЦ (наградная продукция, медали)</t>
  </si>
  <si>
    <t>Лотос ООО 
от 09.02.18.
МК № 28/18
от 26.04.18.
Лотос ООО</t>
  </si>
  <si>
    <t>МК № 01/18
от 09.01.18.
ГАУ ЛО СТЦ Ленинградской области
Дог. № 02-03-2/18СС
от 09.01.18.
ГАУ ЛО СТЦ Ленинградской области</t>
  </si>
  <si>
    <t>№ 2 от 09.01.18. Соломин И.К.
№ 3 от 09.01.18. Соломонов А.С.
№ 4 от 09.01.18. Пономарев С.К.
№ 5 от 09.01.18. Курносенко И. А.
МК № 12/18
от 05.03.18.
ХК Ладога ООО</t>
  </si>
  <si>
    <t>Дог. № 38/18
от 23.05.18. 
СПб ГБУК "Санкт-Петербургский государственный музыкально-драматический театр "Буфф"</t>
  </si>
  <si>
    <t>60.340</t>
  </si>
  <si>
    <t>61.340</t>
  </si>
  <si>
    <t>59.340</t>
  </si>
  <si>
    <t>61.222</t>
  </si>
  <si>
    <t>59.222</t>
  </si>
  <si>
    <t>61.226</t>
  </si>
  <si>
    <t>59.226</t>
  </si>
  <si>
    <t>60.226</t>
  </si>
  <si>
    <t>61.296</t>
  </si>
  <si>
    <t>60.296</t>
  </si>
  <si>
    <t>242.221</t>
  </si>
  <si>
    <t>59.242.226</t>
  </si>
  <si>
    <t>69</t>
  </si>
  <si>
    <t>Услуги видеооператора (съемка мероприятий 26)</t>
  </si>
  <si>
    <t>Оказание услуг по ремонту пожарной сигнализации</t>
  </si>
  <si>
    <t>Дог. № 03р/18 
от 28.04.18. 
ТДА ООО</t>
  </si>
  <si>
    <t>Приобретение и монтаж зеркал для зала в ДК Воейково</t>
  </si>
  <si>
    <t>Мероприятия по обеспечению безопасности систем обслуживания недвижимого имущества</t>
  </si>
  <si>
    <t>23.4</t>
  </si>
  <si>
    <t>Приобретение футболок</t>
  </si>
  <si>
    <t>Приобретение формы для КВН</t>
  </si>
  <si>
    <t>2.6</t>
  </si>
  <si>
    <t>Приобретение надувной арки "Финиш" для проведения спортивных мероприятий (легкоатлетические кроссы, велодуатлон, лыжные гонки и др.)</t>
  </si>
  <si>
    <t>60.310</t>
  </si>
  <si>
    <t>242.310</t>
  </si>
  <si>
    <t>Увеличение стоимости ОС(книги)</t>
  </si>
  <si>
    <t>9.3.</t>
  </si>
  <si>
    <t>Приобретение светодиодной бахромы на здание ДК Воейково 30 шт. и ДК Разметелево 10 шт.</t>
  </si>
  <si>
    <t>9.4.</t>
  </si>
  <si>
    <t>Приобретение ОС для ДК Воейково: микрофонов 3 шт., стойка для микрофонов 1 шт., кронштейн для проектора 2 шт., портативная колонка 1 шт.</t>
  </si>
  <si>
    <t>Оказание услуг по ремонту светодиодных консолей (приобретение расходных материалов и вознаграждение за произведенные работы по ГПД+налоги)</t>
  </si>
  <si>
    <t>59.226.062</t>
  </si>
  <si>
    <t>Отчетный период: с 01.01.2018 года по 30.06.2018 года</t>
  </si>
  <si>
    <t xml:space="preserve">Приложение №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</si>
</sst>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indexed="8"/>
      <name val="Calibri"/>
      <family val="2"/>
    </font>
    <font>
      <b/>
      <sz val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245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0" fillId="0" borderId="2" xfId="0" applyFill="1" applyBorder="1"/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4" fontId="0" fillId="0" borderId="2" xfId="0" applyNumberForma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5" xfId="0" applyFill="1" applyBorder="1"/>
    <xf numFmtId="0" fontId="0" fillId="0" borderId="2" xfId="0" applyFill="1" applyBorder="1" applyAlignment="1"/>
    <xf numFmtId="0" fontId="0" fillId="0" borderId="2" xfId="0" applyFill="1" applyBorder="1" applyAlignment="1">
      <alignment vertical="center"/>
    </xf>
    <xf numFmtId="0" fontId="15" fillId="0" borderId="2" xfId="0" applyFont="1" applyFill="1" applyBorder="1"/>
    <xf numFmtId="0" fontId="4" fillId="0" borderId="2" xfId="0" applyFont="1" applyFill="1" applyBorder="1"/>
    <xf numFmtId="0" fontId="14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4" fontId="0" fillId="0" borderId="0" xfId="0" applyNumberFormat="1" applyFill="1"/>
    <xf numFmtId="4" fontId="3" fillId="0" borderId="0" xfId="0" applyNumberFormat="1" applyFont="1" applyFill="1"/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4" fontId="16" fillId="0" borderId="0" xfId="0" applyNumberFormat="1" applyFont="1" applyFill="1"/>
    <xf numFmtId="0" fontId="9" fillId="0" borderId="2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 wrapText="1"/>
    </xf>
    <xf numFmtId="4" fontId="10" fillId="0" borderId="2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4" fontId="0" fillId="0" borderId="0" xfId="0" applyNumberFormat="1" applyFill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4" fontId="0" fillId="0" borderId="5" xfId="0" applyNumberForma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5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right" wrapText="1"/>
    </xf>
    <xf numFmtId="49" fontId="1" fillId="0" borderId="5" xfId="0" applyNumberFormat="1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top" wrapText="1"/>
    </xf>
    <xf numFmtId="49" fontId="2" fillId="0" borderId="16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 wrapText="1"/>
    </xf>
    <xf numFmtId="4" fontId="1" fillId="0" borderId="5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/>
    <xf numFmtId="49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49" fontId="1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4" fontId="0" fillId="0" borderId="0" xfId="0" applyNumberFormat="1" applyFill="1" applyBorder="1"/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4" fontId="4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right" wrapText="1"/>
    </xf>
    <xf numFmtId="4" fontId="0" fillId="0" borderId="17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wrapText="1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/>
    <xf numFmtId="4" fontId="1" fillId="0" borderId="6" xfId="0" applyNumberFormat="1" applyFont="1" applyFill="1" applyBorder="1" applyAlignment="1">
      <alignment horizontal="right"/>
    </xf>
    <xf numFmtId="0" fontId="0" fillId="0" borderId="6" xfId="0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wrapText="1"/>
    </xf>
    <xf numFmtId="49" fontId="12" fillId="0" borderId="11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4" fontId="1" fillId="0" borderId="11" xfId="0" applyNumberFormat="1" applyFont="1" applyFill="1" applyBorder="1" applyAlignment="1">
      <alignment horizontal="right" wrapText="1"/>
    </xf>
    <xf numFmtId="0" fontId="0" fillId="0" borderId="11" xfId="0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right" wrapText="1"/>
    </xf>
    <xf numFmtId="4" fontId="1" fillId="0" borderId="14" xfId="0" applyNumberFormat="1" applyFont="1" applyFill="1" applyBorder="1" applyAlignment="1">
      <alignment horizontal="right" wrapText="1"/>
    </xf>
    <xf numFmtId="4" fontId="20" fillId="0" borderId="21" xfId="0" applyNumberFormat="1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/>
    <xf numFmtId="0" fontId="4" fillId="0" borderId="6" xfId="0" applyFon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4" fontId="1" fillId="0" borderId="11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wrapText="1"/>
    </xf>
    <xf numFmtId="4" fontId="4" fillId="0" borderId="11" xfId="0" applyNumberFormat="1" applyFont="1" applyFill="1" applyBorder="1"/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</cellXfs>
  <cellStyles count="3">
    <cellStyle name="TableStyleLight1" xfId="1"/>
    <cellStyle name="Обычный" xfId="0" builtinId="0"/>
    <cellStyle name="Обычный 2" xfId="2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5"/>
  <sheetViews>
    <sheetView tabSelected="1" zoomScale="80" zoomScaleNormal="80" workbookViewId="0">
      <selection activeCell="G8" sqref="G8"/>
    </sheetView>
  </sheetViews>
  <sheetFormatPr defaultRowHeight="12.75" x14ac:dyDescent="0.2"/>
  <cols>
    <col min="1" max="1" width="6.28515625" style="1" customWidth="1"/>
    <col min="2" max="2" width="30.5703125" style="20" customWidth="1"/>
    <col min="3" max="3" width="16.5703125" style="150" customWidth="1"/>
    <col min="4" max="4" width="16.7109375" style="18" customWidth="1"/>
    <col min="5" max="6" width="17.140625" style="18" customWidth="1"/>
    <col min="7" max="7" width="16.28515625" style="1" customWidth="1"/>
    <col min="8" max="8" width="17.85546875" style="21" customWidth="1"/>
    <col min="9" max="9" width="13.7109375" style="6" customWidth="1"/>
    <col min="10" max="10" width="16.42578125" style="21" customWidth="1"/>
    <col min="11" max="11" width="16.28515625" style="6" customWidth="1"/>
    <col min="12" max="12" width="16" style="21" customWidth="1"/>
    <col min="13" max="13" width="14" style="1" customWidth="1"/>
    <col min="14" max="14" width="17.5703125" style="1" customWidth="1"/>
    <col min="15" max="15" width="18.5703125" style="1" customWidth="1"/>
    <col min="16" max="16384" width="9.140625" style="1"/>
  </cols>
  <sheetData>
    <row r="1" spans="1:15" x14ac:dyDescent="0.2">
      <c r="K1" s="244" t="s">
        <v>635</v>
      </c>
      <c r="L1" s="244"/>
      <c r="M1" s="244"/>
    </row>
    <row r="2" spans="1:15" x14ac:dyDescent="0.2">
      <c r="K2" s="244"/>
      <c r="L2" s="244"/>
      <c r="M2" s="244"/>
    </row>
    <row r="3" spans="1:15" x14ac:dyDescent="0.2">
      <c r="A3" s="237" t="s">
        <v>196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5" x14ac:dyDescent="0.2">
      <c r="A4" s="237" t="s">
        <v>197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</row>
    <row r="5" spans="1:15" ht="21.75" customHeight="1" x14ac:dyDescent="0.2">
      <c r="A5" s="238" t="s">
        <v>217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</row>
    <row r="6" spans="1:15" s="16" customFormat="1" ht="11.25" x14ac:dyDescent="0.2">
      <c r="A6" s="16" t="s">
        <v>207</v>
      </c>
      <c r="B6" s="17"/>
      <c r="C6" s="149"/>
      <c r="D6" s="18"/>
      <c r="E6" s="18"/>
      <c r="F6" s="18"/>
      <c r="H6" s="19"/>
      <c r="I6" s="18"/>
      <c r="J6" s="19"/>
      <c r="K6" s="18"/>
      <c r="L6" s="19"/>
    </row>
    <row r="8" spans="1:15" x14ac:dyDescent="0.2">
      <c r="A8" s="2" t="s">
        <v>218</v>
      </c>
    </row>
    <row r="9" spans="1:15" x14ac:dyDescent="0.2">
      <c r="A9" s="2" t="s">
        <v>634</v>
      </c>
    </row>
    <row r="10" spans="1:15" ht="24.75" customHeight="1" x14ac:dyDescent="0.2">
      <c r="A10" s="240" t="s">
        <v>219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</row>
    <row r="11" spans="1:15" s="16" customFormat="1" ht="11.25" x14ac:dyDescent="0.2">
      <c r="A11" s="16" t="s">
        <v>198</v>
      </c>
      <c r="B11" s="17"/>
      <c r="C11" s="149"/>
      <c r="D11" s="18"/>
      <c r="E11" s="18"/>
      <c r="F11" s="18"/>
      <c r="H11" s="19"/>
      <c r="I11" s="18"/>
      <c r="J11" s="19"/>
      <c r="K11" s="18"/>
      <c r="L11" s="19"/>
    </row>
    <row r="13" spans="1:15" ht="26.25" customHeight="1" x14ac:dyDescent="0.2">
      <c r="A13" s="242" t="s">
        <v>199</v>
      </c>
      <c r="B13" s="242" t="s">
        <v>208</v>
      </c>
      <c r="C13" s="242" t="s">
        <v>200</v>
      </c>
      <c r="D13" s="242"/>
      <c r="E13" s="242"/>
      <c r="F13" s="162"/>
      <c r="G13" s="242" t="s">
        <v>211</v>
      </c>
      <c r="H13" s="242"/>
      <c r="I13" s="242"/>
      <c r="J13" s="242"/>
      <c r="K13" s="242"/>
      <c r="L13" s="242"/>
      <c r="M13" s="242" t="s">
        <v>212</v>
      </c>
      <c r="N13" s="20"/>
      <c r="O13" s="20"/>
    </row>
    <row r="14" spans="1:15" ht="34.5" customHeight="1" x14ac:dyDescent="0.2">
      <c r="A14" s="242"/>
      <c r="B14" s="242"/>
      <c r="C14" s="243" t="s">
        <v>201</v>
      </c>
      <c r="D14" s="243" t="s">
        <v>202</v>
      </c>
      <c r="E14" s="242" t="s">
        <v>210</v>
      </c>
      <c r="F14" s="162"/>
      <c r="G14" s="242" t="s">
        <v>203</v>
      </c>
      <c r="H14" s="242"/>
      <c r="I14" s="242" t="s">
        <v>204</v>
      </c>
      <c r="J14" s="242"/>
      <c r="K14" s="242" t="s">
        <v>209</v>
      </c>
      <c r="L14" s="242"/>
      <c r="M14" s="242"/>
      <c r="N14" s="20"/>
      <c r="O14" s="20"/>
    </row>
    <row r="15" spans="1:15" ht="80.25" customHeight="1" x14ac:dyDescent="0.2">
      <c r="A15" s="242"/>
      <c r="B15" s="242"/>
      <c r="C15" s="243"/>
      <c r="D15" s="243"/>
      <c r="E15" s="242"/>
      <c r="F15" s="162" t="s">
        <v>414</v>
      </c>
      <c r="G15" s="162" t="s">
        <v>205</v>
      </c>
      <c r="H15" s="22" t="s">
        <v>206</v>
      </c>
      <c r="I15" s="162" t="s">
        <v>205</v>
      </c>
      <c r="J15" s="22" t="s">
        <v>206</v>
      </c>
      <c r="K15" s="162" t="s">
        <v>205</v>
      </c>
      <c r="L15" s="22" t="s">
        <v>206</v>
      </c>
      <c r="M15" s="242"/>
      <c r="N15" s="20"/>
      <c r="O15" s="20"/>
    </row>
    <row r="16" spans="1:15" ht="48.75" customHeight="1" x14ac:dyDescent="0.2">
      <c r="A16" s="7" t="s">
        <v>381</v>
      </c>
      <c r="B16" s="55" t="s">
        <v>9</v>
      </c>
      <c r="C16" s="163"/>
      <c r="D16" s="163"/>
      <c r="E16" s="163"/>
      <c r="F16" s="163"/>
      <c r="G16" s="162"/>
      <c r="H16" s="22"/>
      <c r="I16" s="162"/>
      <c r="J16" s="22"/>
      <c r="K16" s="162"/>
      <c r="L16" s="22"/>
      <c r="M16" s="23"/>
      <c r="N16" s="20"/>
      <c r="O16" s="20"/>
    </row>
    <row r="17" spans="1:15" s="3" customFormat="1" ht="52.5" customHeight="1" x14ac:dyDescent="0.2">
      <c r="A17" s="7">
        <v>1</v>
      </c>
      <c r="B17" s="62" t="s">
        <v>220</v>
      </c>
      <c r="C17" s="25"/>
      <c r="D17" s="25"/>
      <c r="E17" s="25"/>
      <c r="F17" s="25"/>
      <c r="G17" s="24"/>
      <c r="H17" s="72">
        <f>SUM(H18:H25)</f>
        <v>126550</v>
      </c>
      <c r="I17" s="26"/>
      <c r="J17" s="184"/>
      <c r="K17" s="26"/>
      <c r="L17" s="184"/>
      <c r="M17" s="27"/>
      <c r="N17" s="53"/>
      <c r="O17" s="53"/>
    </row>
    <row r="18" spans="1:15" ht="34.5" customHeight="1" x14ac:dyDescent="0.2">
      <c r="A18" s="10" t="s">
        <v>10</v>
      </c>
      <c r="B18" s="63" t="s">
        <v>221</v>
      </c>
      <c r="C18" s="163" t="s">
        <v>214</v>
      </c>
      <c r="D18" s="44" t="s">
        <v>215</v>
      </c>
      <c r="E18" s="163" t="s">
        <v>382</v>
      </c>
      <c r="F18" s="163" t="s">
        <v>610</v>
      </c>
      <c r="G18" s="162"/>
      <c r="H18" s="73">
        <v>30000</v>
      </c>
      <c r="I18" s="162"/>
      <c r="J18" s="22">
        <v>29000</v>
      </c>
      <c r="K18" s="162"/>
      <c r="L18" s="22">
        <v>29000</v>
      </c>
      <c r="M18" s="23"/>
      <c r="N18" s="20"/>
      <c r="O18" s="20"/>
    </row>
    <row r="19" spans="1:15" ht="36.75" customHeight="1" x14ac:dyDescent="0.2">
      <c r="A19" s="10" t="s">
        <v>222</v>
      </c>
      <c r="B19" s="63" t="s">
        <v>13</v>
      </c>
      <c r="C19" s="163" t="s">
        <v>511</v>
      </c>
      <c r="D19" s="44" t="s">
        <v>510</v>
      </c>
      <c r="E19" s="163" t="s">
        <v>515</v>
      </c>
      <c r="F19" s="163" t="s">
        <v>603</v>
      </c>
      <c r="G19" s="162"/>
      <c r="H19" s="73">
        <v>4750</v>
      </c>
      <c r="I19" s="162"/>
      <c r="J19" s="22">
        <v>3862.5</v>
      </c>
      <c r="K19" s="162"/>
      <c r="L19" s="22">
        <f>J19</f>
        <v>3862.5</v>
      </c>
      <c r="M19" s="23"/>
      <c r="N19" s="20"/>
      <c r="O19" s="20"/>
    </row>
    <row r="20" spans="1:15" ht="33.75" x14ac:dyDescent="0.2">
      <c r="A20" s="10" t="s">
        <v>223</v>
      </c>
      <c r="B20" s="63" t="s">
        <v>224</v>
      </c>
      <c r="C20" s="163" t="s">
        <v>214</v>
      </c>
      <c r="D20" s="45" t="s">
        <v>215</v>
      </c>
      <c r="E20" s="163" t="s">
        <v>516</v>
      </c>
      <c r="F20" s="163" t="s">
        <v>607</v>
      </c>
      <c r="G20" s="4"/>
      <c r="H20" s="73">
        <v>6000</v>
      </c>
      <c r="I20" s="14"/>
      <c r="J20" s="185">
        <v>6000</v>
      </c>
      <c r="K20" s="14"/>
      <c r="L20" s="28">
        <v>6000</v>
      </c>
      <c r="M20" s="4"/>
      <c r="O20" s="42"/>
    </row>
    <row r="21" spans="1:15" x14ac:dyDescent="0.2">
      <c r="A21" s="10" t="s">
        <v>225</v>
      </c>
      <c r="B21" s="63" t="s">
        <v>15</v>
      </c>
      <c r="C21" s="163" t="s">
        <v>513</v>
      </c>
      <c r="D21" s="44" t="s">
        <v>215</v>
      </c>
      <c r="E21" s="163"/>
      <c r="F21" s="29" t="s">
        <v>605</v>
      </c>
      <c r="G21" s="4"/>
      <c r="H21" s="73">
        <v>9000</v>
      </c>
      <c r="I21" s="14"/>
      <c r="J21" s="166"/>
      <c r="K21" s="14"/>
      <c r="L21" s="28"/>
      <c r="M21" s="4"/>
    </row>
    <row r="22" spans="1:15" ht="33.75" x14ac:dyDescent="0.2">
      <c r="A22" s="10" t="s">
        <v>226</v>
      </c>
      <c r="B22" s="63" t="s">
        <v>17</v>
      </c>
      <c r="C22" s="163" t="s">
        <v>214</v>
      </c>
      <c r="D22" s="44" t="s">
        <v>215</v>
      </c>
      <c r="E22" s="163" t="s">
        <v>518</v>
      </c>
      <c r="F22" s="163" t="s">
        <v>603</v>
      </c>
      <c r="G22" s="4"/>
      <c r="H22" s="73">
        <v>65000</v>
      </c>
      <c r="I22" s="14"/>
      <c r="J22" s="28">
        <f>8670+8652.8</f>
        <v>17322.8</v>
      </c>
      <c r="K22" s="14"/>
      <c r="L22" s="28">
        <f>J22</f>
        <v>17322.8</v>
      </c>
      <c r="M22" s="4"/>
    </row>
    <row r="23" spans="1:15" ht="24.75" customHeight="1" x14ac:dyDescent="0.2">
      <c r="A23" s="10" t="s">
        <v>227</v>
      </c>
      <c r="B23" s="63" t="s">
        <v>228</v>
      </c>
      <c r="C23" s="163" t="s">
        <v>214</v>
      </c>
      <c r="D23" s="45" t="s">
        <v>215</v>
      </c>
      <c r="E23" s="79"/>
      <c r="F23" s="163" t="s">
        <v>610</v>
      </c>
      <c r="G23" s="33"/>
      <c r="H23" s="73">
        <v>1500</v>
      </c>
      <c r="I23" s="34"/>
      <c r="J23" s="186"/>
      <c r="K23" s="34"/>
      <c r="L23" s="186"/>
      <c r="M23" s="33"/>
    </row>
    <row r="24" spans="1:15" ht="26.25" customHeight="1" x14ac:dyDescent="0.2">
      <c r="A24" s="10" t="s">
        <v>229</v>
      </c>
      <c r="B24" s="63" t="s">
        <v>216</v>
      </c>
      <c r="C24" s="163" t="s">
        <v>214</v>
      </c>
      <c r="D24" s="45" t="s">
        <v>215</v>
      </c>
      <c r="E24" s="79"/>
      <c r="F24" s="163" t="s">
        <v>607</v>
      </c>
      <c r="G24" s="33"/>
      <c r="H24" s="73">
        <f>5000*2</f>
        <v>10000</v>
      </c>
      <c r="I24" s="34"/>
      <c r="J24" s="186"/>
      <c r="K24" s="34"/>
      <c r="L24" s="186"/>
      <c r="M24" s="33"/>
    </row>
    <row r="25" spans="1:15" ht="25.5" x14ac:dyDescent="0.2">
      <c r="A25" s="10" t="s">
        <v>230</v>
      </c>
      <c r="B25" s="63" t="s">
        <v>231</v>
      </c>
      <c r="C25" s="163" t="s">
        <v>512</v>
      </c>
      <c r="D25" s="45" t="s">
        <v>510</v>
      </c>
      <c r="E25" s="163"/>
      <c r="F25" s="163" t="s">
        <v>610</v>
      </c>
      <c r="G25" s="4"/>
      <c r="H25" s="74">
        <v>300</v>
      </c>
      <c r="I25" s="14"/>
      <c r="J25" s="28"/>
      <c r="K25" s="14"/>
      <c r="L25" s="28"/>
      <c r="M25" s="4"/>
    </row>
    <row r="26" spans="1:15" ht="39.75" customHeight="1" x14ac:dyDescent="0.2">
      <c r="A26" s="7">
        <v>2</v>
      </c>
      <c r="B26" s="62" t="s">
        <v>130</v>
      </c>
      <c r="C26" s="25"/>
      <c r="D26" s="50"/>
      <c r="E26" s="80"/>
      <c r="F26" s="80"/>
      <c r="G26" s="81"/>
      <c r="H26" s="72">
        <v>18000</v>
      </c>
      <c r="I26" s="82"/>
      <c r="J26" s="186"/>
      <c r="K26" s="82"/>
      <c r="L26" s="186"/>
      <c r="M26" s="33"/>
    </row>
    <row r="27" spans="1:15" ht="39.75" customHeight="1" x14ac:dyDescent="0.2">
      <c r="A27" s="10" t="s">
        <v>19</v>
      </c>
      <c r="B27" s="63" t="s">
        <v>15</v>
      </c>
      <c r="C27" s="163" t="s">
        <v>513</v>
      </c>
      <c r="D27" s="45" t="s">
        <v>215</v>
      </c>
      <c r="E27" s="163"/>
      <c r="F27" s="29" t="s">
        <v>605</v>
      </c>
      <c r="G27" s="157"/>
      <c r="H27" s="74">
        <v>18000</v>
      </c>
      <c r="I27" s="158"/>
      <c r="J27" s="166"/>
      <c r="K27" s="158"/>
      <c r="L27" s="187"/>
      <c r="M27" s="157"/>
    </row>
    <row r="28" spans="1:15" x14ac:dyDescent="0.2">
      <c r="A28" s="7" t="s">
        <v>20</v>
      </c>
      <c r="B28" s="62" t="s">
        <v>232</v>
      </c>
      <c r="C28" s="163"/>
      <c r="D28" s="45"/>
      <c r="E28" s="163"/>
      <c r="F28" s="163"/>
      <c r="G28" s="4"/>
      <c r="H28" s="72">
        <f>13500+10500</f>
        <v>24000</v>
      </c>
      <c r="I28" s="14"/>
      <c r="J28" s="28"/>
      <c r="K28" s="14"/>
      <c r="L28" s="28"/>
      <c r="M28" s="4"/>
    </row>
    <row r="29" spans="1:15" ht="33.75" x14ac:dyDescent="0.2">
      <c r="A29" s="10" t="s">
        <v>4</v>
      </c>
      <c r="B29" s="63" t="s">
        <v>21</v>
      </c>
      <c r="C29" s="163" t="s">
        <v>214</v>
      </c>
      <c r="D29" s="45" t="s">
        <v>514</v>
      </c>
      <c r="E29" s="163" t="s">
        <v>525</v>
      </c>
      <c r="F29" s="163" t="s">
        <v>607</v>
      </c>
      <c r="G29" s="4"/>
      <c r="H29" s="74">
        <v>24000</v>
      </c>
      <c r="I29" s="14"/>
      <c r="J29" s="28">
        <v>24000</v>
      </c>
      <c r="K29" s="14"/>
      <c r="L29" s="28">
        <v>24000</v>
      </c>
      <c r="M29" s="4"/>
    </row>
    <row r="30" spans="1:15" s="3" customFormat="1" ht="69" customHeight="1" x14ac:dyDescent="0.2">
      <c r="A30" s="7">
        <v>4</v>
      </c>
      <c r="B30" s="62" t="s">
        <v>233</v>
      </c>
      <c r="C30" s="25"/>
      <c r="D30" s="50"/>
      <c r="E30" s="37"/>
      <c r="F30" s="37"/>
      <c r="G30" s="36"/>
      <c r="H30" s="72">
        <f>30*250</f>
        <v>7500</v>
      </c>
      <c r="I30" s="39"/>
      <c r="J30" s="38"/>
      <c r="K30" s="39"/>
      <c r="L30" s="38"/>
      <c r="M30" s="36"/>
    </row>
    <row r="31" spans="1:15" ht="27" customHeight="1" x14ac:dyDescent="0.2">
      <c r="A31" s="10" t="s">
        <v>5</v>
      </c>
      <c r="B31" s="63" t="s">
        <v>46</v>
      </c>
      <c r="C31" s="163" t="s">
        <v>214</v>
      </c>
      <c r="D31" s="45" t="s">
        <v>215</v>
      </c>
      <c r="E31" s="163"/>
      <c r="F31" s="163" t="s">
        <v>607</v>
      </c>
      <c r="G31" s="4"/>
      <c r="H31" s="74">
        <v>7500</v>
      </c>
      <c r="I31" s="14"/>
      <c r="J31" s="28"/>
      <c r="K31" s="14"/>
      <c r="L31" s="28"/>
      <c r="M31" s="4"/>
    </row>
    <row r="32" spans="1:15" s="3" customFormat="1" ht="39" customHeight="1" x14ac:dyDescent="0.2">
      <c r="A32" s="7">
        <v>5</v>
      </c>
      <c r="B32" s="62" t="s">
        <v>234</v>
      </c>
      <c r="C32" s="25"/>
      <c r="D32" s="50"/>
      <c r="E32" s="37"/>
      <c r="F32" s="37"/>
      <c r="G32" s="36"/>
      <c r="H32" s="72">
        <f>10*1800</f>
        <v>18000</v>
      </c>
      <c r="I32" s="39"/>
      <c r="J32" s="38"/>
      <c r="K32" s="39"/>
      <c r="L32" s="38"/>
      <c r="M32" s="36"/>
    </row>
    <row r="33" spans="1:13" ht="35.25" customHeight="1" x14ac:dyDescent="0.2">
      <c r="A33" s="10" t="s">
        <v>6</v>
      </c>
      <c r="B33" s="63" t="s">
        <v>15</v>
      </c>
      <c r="C33" s="163" t="s">
        <v>513</v>
      </c>
      <c r="D33" s="45" t="s">
        <v>215</v>
      </c>
      <c r="E33" s="163"/>
      <c r="F33" s="29" t="s">
        <v>605</v>
      </c>
      <c r="G33" s="41"/>
      <c r="H33" s="73">
        <v>18000</v>
      </c>
      <c r="I33" s="155"/>
      <c r="J33" s="166"/>
      <c r="K33" s="155"/>
      <c r="L33" s="166"/>
      <c r="M33" s="41"/>
    </row>
    <row r="34" spans="1:13" ht="38.25" x14ac:dyDescent="0.2">
      <c r="A34" s="52" t="s">
        <v>3</v>
      </c>
      <c r="B34" s="62" t="s">
        <v>120</v>
      </c>
      <c r="C34" s="163"/>
      <c r="D34" s="45"/>
      <c r="E34" s="163"/>
      <c r="F34" s="163"/>
      <c r="G34" s="4"/>
      <c r="H34" s="72">
        <v>40000</v>
      </c>
      <c r="I34" s="14"/>
      <c r="J34" s="28"/>
      <c r="K34" s="14"/>
      <c r="L34" s="28"/>
      <c r="M34" s="4"/>
    </row>
    <row r="35" spans="1:13" ht="22.5" x14ac:dyDescent="0.2">
      <c r="A35" s="10" t="s">
        <v>25</v>
      </c>
      <c r="B35" s="63" t="s">
        <v>22</v>
      </c>
      <c r="C35" s="163" t="s">
        <v>214</v>
      </c>
      <c r="D35" s="45" t="s">
        <v>520</v>
      </c>
      <c r="E35" s="29"/>
      <c r="F35" s="163" t="s">
        <v>607</v>
      </c>
      <c r="G35" s="4"/>
      <c r="H35" s="74">
        <v>40000</v>
      </c>
      <c r="I35" s="14"/>
      <c r="J35" s="28"/>
      <c r="K35" s="14"/>
      <c r="L35" s="28"/>
      <c r="M35" s="4"/>
    </row>
    <row r="36" spans="1:13" ht="38.25" x14ac:dyDescent="0.2">
      <c r="A36" s="7">
        <v>7</v>
      </c>
      <c r="B36" s="62" t="s">
        <v>235</v>
      </c>
      <c r="C36" s="163"/>
      <c r="D36" s="45"/>
      <c r="E36" s="163"/>
      <c r="F36" s="163"/>
      <c r="G36" s="4"/>
      <c r="H36" s="72">
        <f>SUM(H37:H41)</f>
        <v>21350</v>
      </c>
      <c r="I36" s="14"/>
      <c r="J36" s="28"/>
      <c r="K36" s="14"/>
      <c r="L36" s="28"/>
      <c r="M36" s="4"/>
    </row>
    <row r="37" spans="1:13" ht="45" customHeight="1" x14ac:dyDescent="0.2">
      <c r="A37" s="10" t="s">
        <v>236</v>
      </c>
      <c r="B37" s="63" t="s">
        <v>224</v>
      </c>
      <c r="C37" s="163" t="s">
        <v>214</v>
      </c>
      <c r="D37" s="45" t="s">
        <v>514</v>
      </c>
      <c r="E37" s="163" t="s">
        <v>519</v>
      </c>
      <c r="F37" s="163" t="s">
        <v>607</v>
      </c>
      <c r="G37" s="4"/>
      <c r="H37" s="73">
        <v>6000</v>
      </c>
      <c r="I37" s="14"/>
      <c r="J37" s="28">
        <v>6000</v>
      </c>
      <c r="K37" s="14"/>
      <c r="L37" s="28">
        <v>6000</v>
      </c>
      <c r="M37" s="4"/>
    </row>
    <row r="38" spans="1:13" ht="25.5" x14ac:dyDescent="0.2">
      <c r="A38" s="10" t="s">
        <v>237</v>
      </c>
      <c r="B38" s="63" t="s">
        <v>231</v>
      </c>
      <c r="C38" s="163" t="s">
        <v>512</v>
      </c>
      <c r="D38" s="45" t="s">
        <v>510</v>
      </c>
      <c r="E38" s="163"/>
      <c r="F38" s="163" t="s">
        <v>610</v>
      </c>
      <c r="G38" s="4"/>
      <c r="H38" s="73">
        <f>10*30</f>
        <v>300</v>
      </c>
      <c r="I38" s="14"/>
      <c r="J38" s="28"/>
      <c r="K38" s="14"/>
      <c r="L38" s="28"/>
      <c r="M38" s="4"/>
    </row>
    <row r="39" spans="1:13" ht="33.75" x14ac:dyDescent="0.2">
      <c r="A39" s="10" t="s">
        <v>238</v>
      </c>
      <c r="B39" s="63" t="s">
        <v>231</v>
      </c>
      <c r="C39" s="163" t="s">
        <v>512</v>
      </c>
      <c r="D39" s="45" t="s">
        <v>510</v>
      </c>
      <c r="E39" s="163" t="s">
        <v>573</v>
      </c>
      <c r="F39" s="163" t="s">
        <v>610</v>
      </c>
      <c r="G39" s="41"/>
      <c r="H39" s="73">
        <v>300</v>
      </c>
      <c r="I39" s="155"/>
      <c r="J39" s="166">
        <v>67.8</v>
      </c>
      <c r="K39" s="155"/>
      <c r="L39" s="166">
        <f>J39</f>
        <v>67.8</v>
      </c>
      <c r="M39" s="41"/>
    </row>
    <row r="40" spans="1:13" ht="25.5" x14ac:dyDescent="0.2">
      <c r="A40" s="10"/>
      <c r="B40" s="63" t="s">
        <v>216</v>
      </c>
      <c r="C40" s="163"/>
      <c r="D40" s="45"/>
      <c r="E40" s="29"/>
      <c r="F40" s="163" t="s">
        <v>607</v>
      </c>
      <c r="G40" s="4"/>
      <c r="H40" s="73">
        <f>5000*2</f>
        <v>10000</v>
      </c>
      <c r="I40" s="14"/>
      <c r="J40" s="28"/>
      <c r="K40" s="14"/>
      <c r="L40" s="28"/>
      <c r="M40" s="4"/>
    </row>
    <row r="41" spans="1:13" ht="36.75" customHeight="1" x14ac:dyDescent="0.2">
      <c r="A41" s="10" t="s">
        <v>239</v>
      </c>
      <c r="B41" s="63" t="s">
        <v>13</v>
      </c>
      <c r="C41" s="163" t="s">
        <v>511</v>
      </c>
      <c r="D41" s="44" t="s">
        <v>510</v>
      </c>
      <c r="E41" s="163" t="s">
        <v>515</v>
      </c>
      <c r="F41" s="163" t="s">
        <v>603</v>
      </c>
      <c r="G41" s="41"/>
      <c r="H41" s="74">
        <v>4750</v>
      </c>
      <c r="I41" s="155"/>
      <c r="J41" s="166">
        <v>3862.5</v>
      </c>
      <c r="K41" s="155"/>
      <c r="L41" s="166">
        <f>J41</f>
        <v>3862.5</v>
      </c>
      <c r="M41" s="41"/>
    </row>
    <row r="42" spans="1:13" ht="25.5" x14ac:dyDescent="0.2">
      <c r="A42" s="7">
        <v>8</v>
      </c>
      <c r="B42" s="62" t="s">
        <v>240</v>
      </c>
      <c r="C42" s="163"/>
      <c r="D42" s="45"/>
      <c r="E42" s="29"/>
      <c r="F42" s="29"/>
      <c r="G42" s="4"/>
      <c r="H42" s="72">
        <v>30000</v>
      </c>
      <c r="I42" s="14"/>
      <c r="J42" s="28"/>
      <c r="K42" s="14"/>
      <c r="L42" s="28"/>
      <c r="M42" s="4"/>
    </row>
    <row r="43" spans="1:13" ht="22.5" x14ac:dyDescent="0.2">
      <c r="A43" s="10" t="s">
        <v>7</v>
      </c>
      <c r="B43" s="63" t="s">
        <v>22</v>
      </c>
      <c r="C43" s="163" t="s">
        <v>214</v>
      </c>
      <c r="D43" s="45" t="s">
        <v>520</v>
      </c>
      <c r="E43" s="29"/>
      <c r="F43" s="163" t="s">
        <v>607</v>
      </c>
      <c r="G43" s="4"/>
      <c r="H43" s="74">
        <v>30000</v>
      </c>
      <c r="I43" s="14"/>
      <c r="J43" s="38"/>
      <c r="K43" s="14"/>
      <c r="L43" s="38"/>
      <c r="M43" s="4"/>
    </row>
    <row r="44" spans="1:13" ht="51" x14ac:dyDescent="0.2">
      <c r="A44" s="7">
        <v>9</v>
      </c>
      <c r="B44" s="62" t="s">
        <v>241</v>
      </c>
      <c r="C44" s="163"/>
      <c r="D44" s="45"/>
      <c r="E44" s="163"/>
      <c r="F44" s="163"/>
      <c r="G44" s="4"/>
      <c r="H44" s="72">
        <f>30*250</f>
        <v>7500</v>
      </c>
      <c r="I44" s="14"/>
      <c r="J44" s="28"/>
      <c r="K44" s="14"/>
      <c r="L44" s="28"/>
      <c r="M44" s="4"/>
    </row>
    <row r="45" spans="1:13" ht="22.5" x14ac:dyDescent="0.2">
      <c r="A45" s="10" t="s">
        <v>31</v>
      </c>
      <c r="B45" s="63" t="s">
        <v>46</v>
      </c>
      <c r="C45" s="163" t="s">
        <v>214</v>
      </c>
      <c r="D45" s="45" t="s">
        <v>514</v>
      </c>
      <c r="E45" s="29"/>
      <c r="F45" s="163" t="s">
        <v>607</v>
      </c>
      <c r="G45" s="4"/>
      <c r="H45" s="74">
        <v>7500</v>
      </c>
      <c r="I45" s="14"/>
      <c r="J45" s="28"/>
      <c r="K45" s="14"/>
      <c r="L45" s="28"/>
      <c r="M45" s="4"/>
    </row>
    <row r="46" spans="1:13" ht="76.5" x14ac:dyDescent="0.2">
      <c r="A46" s="7">
        <v>11</v>
      </c>
      <c r="B46" s="62" t="s">
        <v>242</v>
      </c>
      <c r="C46" s="163"/>
      <c r="D46" s="45"/>
      <c r="E46" s="29"/>
      <c r="F46" s="29"/>
      <c r="G46" s="4"/>
      <c r="H46" s="72">
        <f>30*200</f>
        <v>6000</v>
      </c>
      <c r="I46" s="14"/>
      <c r="J46" s="28"/>
      <c r="K46" s="14"/>
      <c r="L46" s="28"/>
      <c r="M46" s="4"/>
    </row>
    <row r="47" spans="1:13" ht="33.75" x14ac:dyDescent="0.2">
      <c r="A47" s="10" t="s">
        <v>36</v>
      </c>
      <c r="B47" s="63" t="s">
        <v>29</v>
      </c>
      <c r="C47" s="163" t="s">
        <v>521</v>
      </c>
      <c r="D47" s="45" t="s">
        <v>510</v>
      </c>
      <c r="E47" s="163" t="s">
        <v>570</v>
      </c>
      <c r="F47" s="163" t="s">
        <v>610</v>
      </c>
      <c r="G47" s="4"/>
      <c r="H47" s="74">
        <v>6000</v>
      </c>
      <c r="I47" s="14"/>
      <c r="J47" s="28">
        <v>4162.2700000000004</v>
      </c>
      <c r="K47" s="14"/>
      <c r="L47" s="28">
        <f>J47</f>
        <v>4162.2700000000004</v>
      </c>
      <c r="M47" s="4"/>
    </row>
    <row r="48" spans="1:13" ht="38.25" x14ac:dyDescent="0.2">
      <c r="A48" s="7">
        <v>12</v>
      </c>
      <c r="B48" s="62" t="s">
        <v>243</v>
      </c>
      <c r="C48" s="163"/>
      <c r="D48" s="45"/>
      <c r="E48" s="29"/>
      <c r="F48" s="29"/>
      <c r="G48" s="4"/>
      <c r="H48" s="72">
        <f>H56</f>
        <v>400000</v>
      </c>
      <c r="I48" s="14"/>
      <c r="J48" s="28"/>
      <c r="K48" s="14"/>
      <c r="L48" s="28"/>
      <c r="M48" s="4"/>
    </row>
    <row r="49" spans="1:13" ht="38.25" x14ac:dyDescent="0.2">
      <c r="A49" s="10" t="s">
        <v>39</v>
      </c>
      <c r="B49" s="63" t="s">
        <v>122</v>
      </c>
      <c r="C49" s="163"/>
      <c r="D49" s="45"/>
      <c r="E49" s="163"/>
      <c r="F49" s="163"/>
      <c r="G49" s="4"/>
      <c r="H49" s="85">
        <v>0</v>
      </c>
      <c r="I49" s="14"/>
      <c r="J49" s="28"/>
      <c r="K49" s="14"/>
      <c r="L49" s="28"/>
      <c r="M49" s="4"/>
    </row>
    <row r="50" spans="1:13" ht="25.5" x14ac:dyDescent="0.2">
      <c r="A50" s="10" t="s">
        <v>244</v>
      </c>
      <c r="B50" s="63" t="s">
        <v>245</v>
      </c>
      <c r="C50" s="163"/>
      <c r="D50" s="45"/>
      <c r="E50" s="163"/>
      <c r="F50" s="163"/>
      <c r="G50" s="4"/>
      <c r="H50" s="73">
        <v>0</v>
      </c>
      <c r="I50" s="14"/>
      <c r="J50" s="28"/>
      <c r="K50" s="14"/>
      <c r="L50" s="28"/>
      <c r="M50" s="4"/>
    </row>
    <row r="51" spans="1:13" x14ac:dyDescent="0.2">
      <c r="A51" s="10" t="s">
        <v>246</v>
      </c>
      <c r="B51" s="63" t="s">
        <v>46</v>
      </c>
      <c r="C51" s="163"/>
      <c r="D51" s="45"/>
      <c r="E51" s="29"/>
      <c r="F51" s="29"/>
      <c r="G51" s="4"/>
      <c r="H51" s="73">
        <v>0</v>
      </c>
      <c r="I51" s="14"/>
      <c r="J51" s="38"/>
      <c r="K51" s="14"/>
      <c r="L51" s="38"/>
      <c r="M51" s="4"/>
    </row>
    <row r="52" spans="1:13" x14ac:dyDescent="0.2">
      <c r="A52" s="10" t="s">
        <v>247</v>
      </c>
      <c r="B52" s="63" t="s">
        <v>24</v>
      </c>
      <c r="C52" s="163"/>
      <c r="D52" s="45"/>
      <c r="E52" s="29"/>
      <c r="F52" s="29"/>
      <c r="G52" s="4"/>
      <c r="H52" s="73">
        <v>0</v>
      </c>
      <c r="I52" s="14"/>
      <c r="J52" s="28"/>
      <c r="K52" s="14"/>
      <c r="L52" s="166"/>
      <c r="M52" s="4"/>
    </row>
    <row r="53" spans="1:13" ht="25.5" x14ac:dyDescent="0.2">
      <c r="A53" s="10" t="s">
        <v>248</v>
      </c>
      <c r="B53" s="63" t="s">
        <v>231</v>
      </c>
      <c r="C53" s="163" t="s">
        <v>512</v>
      </c>
      <c r="D53" s="45" t="s">
        <v>510</v>
      </c>
      <c r="E53" s="29"/>
      <c r="F53" s="29"/>
      <c r="G53" s="4"/>
      <c r="H53" s="73">
        <v>0</v>
      </c>
      <c r="I53" s="14"/>
      <c r="J53" s="38"/>
      <c r="K53" s="14"/>
      <c r="L53" s="38"/>
      <c r="M53" s="4"/>
    </row>
    <row r="54" spans="1:13" ht="18" customHeight="1" x14ac:dyDescent="0.2">
      <c r="A54" s="10" t="s">
        <v>249</v>
      </c>
      <c r="B54" s="63" t="s">
        <v>221</v>
      </c>
      <c r="C54" s="163"/>
      <c r="D54" s="45"/>
      <c r="E54" s="163"/>
      <c r="F54" s="163"/>
      <c r="G54" s="4"/>
      <c r="H54" s="73">
        <v>0</v>
      </c>
      <c r="I54" s="14"/>
      <c r="J54" s="164"/>
      <c r="K54" s="14"/>
      <c r="L54" s="28"/>
      <c r="M54" s="4"/>
    </row>
    <row r="55" spans="1:13" ht="21.75" customHeight="1" x14ac:dyDescent="0.2">
      <c r="A55" s="10" t="s">
        <v>250</v>
      </c>
      <c r="B55" s="63" t="s">
        <v>29</v>
      </c>
      <c r="C55" s="163"/>
      <c r="D55" s="45"/>
      <c r="E55" s="163"/>
      <c r="F55" s="163"/>
      <c r="G55" s="4"/>
      <c r="H55" s="74"/>
      <c r="I55" s="14"/>
      <c r="J55" s="164"/>
      <c r="K55" s="14"/>
      <c r="L55" s="28"/>
      <c r="M55" s="4"/>
    </row>
    <row r="56" spans="1:13" s="3" customFormat="1" ht="78.75" x14ac:dyDescent="0.2">
      <c r="A56" s="10" t="s">
        <v>251</v>
      </c>
      <c r="B56" s="63" t="s">
        <v>252</v>
      </c>
      <c r="C56" s="163" t="s">
        <v>214</v>
      </c>
      <c r="D56" s="45" t="s">
        <v>514</v>
      </c>
      <c r="E56" s="163" t="s">
        <v>522</v>
      </c>
      <c r="F56" s="163" t="s">
        <v>610</v>
      </c>
      <c r="G56" s="41"/>
      <c r="H56" s="73">
        <v>400000</v>
      </c>
      <c r="I56" s="155"/>
      <c r="J56" s="166">
        <v>400000</v>
      </c>
      <c r="K56" s="155"/>
      <c r="L56" s="166">
        <v>400000</v>
      </c>
      <c r="M56" s="41"/>
    </row>
    <row r="57" spans="1:13" ht="25.5" x14ac:dyDescent="0.2">
      <c r="A57" s="7">
        <v>13</v>
      </c>
      <c r="B57" s="62" t="s">
        <v>123</v>
      </c>
      <c r="C57" s="163"/>
      <c r="D57" s="45"/>
      <c r="E57" s="29"/>
      <c r="F57" s="29"/>
      <c r="G57" s="4"/>
      <c r="H57" s="72">
        <f>H58+H59+H60</f>
        <v>89600</v>
      </c>
      <c r="I57" s="14"/>
      <c r="J57" s="28"/>
      <c r="K57" s="14"/>
      <c r="L57" s="28"/>
      <c r="M57" s="4"/>
    </row>
    <row r="58" spans="1:13" ht="35.25" customHeight="1" x14ac:dyDescent="0.2">
      <c r="A58" s="10" t="s">
        <v>182</v>
      </c>
      <c r="B58" s="63" t="s">
        <v>231</v>
      </c>
      <c r="C58" s="163" t="s">
        <v>512</v>
      </c>
      <c r="D58" s="45" t="s">
        <v>510</v>
      </c>
      <c r="E58" s="163" t="s">
        <v>573</v>
      </c>
      <c r="F58" s="163" t="s">
        <v>610</v>
      </c>
      <c r="G58" s="33"/>
      <c r="H58" s="73">
        <v>600</v>
      </c>
      <c r="I58" s="34"/>
      <c r="J58" s="28">
        <v>135.6</v>
      </c>
      <c r="K58" s="14"/>
      <c r="L58" s="28">
        <f>J58</f>
        <v>135.6</v>
      </c>
      <c r="M58" s="4"/>
    </row>
    <row r="59" spans="1:13" ht="90.75" customHeight="1" x14ac:dyDescent="0.2">
      <c r="A59" s="10" t="s">
        <v>126</v>
      </c>
      <c r="B59" s="63" t="s">
        <v>49</v>
      </c>
      <c r="C59" s="163" t="s">
        <v>214</v>
      </c>
      <c r="D59" s="45"/>
      <c r="E59" s="177" t="s">
        <v>523</v>
      </c>
      <c r="F59" s="163" t="s">
        <v>610</v>
      </c>
      <c r="G59" s="33"/>
      <c r="H59" s="73">
        <v>80000</v>
      </c>
      <c r="I59" s="34"/>
      <c r="J59" s="28">
        <f>60000+7300</f>
        <v>67300</v>
      </c>
      <c r="K59" s="14"/>
      <c r="L59" s="28">
        <f>60000+7300</f>
        <v>67300</v>
      </c>
      <c r="M59" s="4"/>
    </row>
    <row r="60" spans="1:13" ht="33.75" x14ac:dyDescent="0.2">
      <c r="A60" s="10" t="s">
        <v>253</v>
      </c>
      <c r="B60" s="63" t="s">
        <v>15</v>
      </c>
      <c r="C60" s="163" t="s">
        <v>513</v>
      </c>
      <c r="D60" s="45" t="s">
        <v>215</v>
      </c>
      <c r="E60" s="163" t="s">
        <v>517</v>
      </c>
      <c r="F60" s="29" t="s">
        <v>605</v>
      </c>
      <c r="G60" s="41"/>
      <c r="H60" s="74">
        <v>9000</v>
      </c>
      <c r="I60" s="155"/>
      <c r="J60" s="166">
        <v>7649.81</v>
      </c>
      <c r="K60" s="155"/>
      <c r="L60" s="166">
        <f>J60</f>
        <v>7649.81</v>
      </c>
      <c r="M60" s="41"/>
    </row>
    <row r="61" spans="1:13" s="3" customFormat="1" x14ac:dyDescent="0.2">
      <c r="A61" s="7">
        <v>14</v>
      </c>
      <c r="B61" s="62" t="s">
        <v>232</v>
      </c>
      <c r="C61" s="25"/>
      <c r="D61" s="50"/>
      <c r="E61" s="37"/>
      <c r="F61" s="37"/>
      <c r="G61" s="36"/>
      <c r="H61" s="72">
        <f>10000+10500</f>
        <v>20500</v>
      </c>
      <c r="I61" s="39"/>
      <c r="J61" s="38"/>
      <c r="K61" s="39"/>
      <c r="L61" s="38"/>
      <c r="M61" s="36"/>
    </row>
    <row r="62" spans="1:13" ht="37.5" customHeight="1" x14ac:dyDescent="0.2">
      <c r="A62" s="10" t="s">
        <v>42</v>
      </c>
      <c r="B62" s="63" t="s">
        <v>21</v>
      </c>
      <c r="C62" s="163" t="s">
        <v>214</v>
      </c>
      <c r="D62" s="45"/>
      <c r="E62" s="163" t="s">
        <v>524</v>
      </c>
      <c r="F62" s="163" t="s">
        <v>607</v>
      </c>
      <c r="G62" s="4"/>
      <c r="H62" s="74">
        <v>20500</v>
      </c>
      <c r="I62" s="14"/>
      <c r="J62" s="28">
        <v>20500</v>
      </c>
      <c r="K62" s="14"/>
      <c r="L62" s="28">
        <v>20500</v>
      </c>
      <c r="M62" s="4"/>
    </row>
    <row r="63" spans="1:13" ht="51" x14ac:dyDescent="0.2">
      <c r="A63" s="7">
        <v>15</v>
      </c>
      <c r="B63" s="62" t="s">
        <v>254</v>
      </c>
      <c r="C63" s="163"/>
      <c r="D63" s="45"/>
      <c r="E63" s="29"/>
      <c r="F63" s="29"/>
      <c r="G63" s="4"/>
      <c r="H63" s="72">
        <f>30*200</f>
        <v>6000</v>
      </c>
      <c r="I63" s="14"/>
      <c r="J63" s="28"/>
      <c r="K63" s="14"/>
      <c r="L63" s="28"/>
      <c r="M63" s="4"/>
    </row>
    <row r="64" spans="1:13" s="3" customFormat="1" ht="67.5" x14ac:dyDescent="0.2">
      <c r="A64" s="10" t="s">
        <v>255</v>
      </c>
      <c r="B64" s="63" t="s">
        <v>29</v>
      </c>
      <c r="C64" s="163" t="s">
        <v>521</v>
      </c>
      <c r="D64" s="45" t="s">
        <v>510</v>
      </c>
      <c r="E64" s="163" t="s">
        <v>571</v>
      </c>
      <c r="F64" s="163" t="s">
        <v>610</v>
      </c>
      <c r="G64" s="36"/>
      <c r="H64" s="74">
        <v>6000</v>
      </c>
      <c r="I64" s="155"/>
      <c r="J64" s="166">
        <f>1450.8+(2183.28+90.87)</f>
        <v>3724.95</v>
      </c>
      <c r="K64" s="155"/>
      <c r="L64" s="166">
        <f>J64</f>
        <v>3724.95</v>
      </c>
      <c r="M64" s="41"/>
    </row>
    <row r="65" spans="1:13" x14ac:dyDescent="0.2">
      <c r="A65" s="7" t="s">
        <v>256</v>
      </c>
      <c r="B65" s="62" t="s">
        <v>232</v>
      </c>
      <c r="C65" s="163"/>
      <c r="D65" s="45"/>
      <c r="E65" s="29"/>
      <c r="F65" s="29"/>
      <c r="G65" s="4"/>
      <c r="H65" s="72">
        <f>10000+12500</f>
        <v>22500</v>
      </c>
      <c r="I65" s="14"/>
      <c r="J65" s="28"/>
      <c r="K65" s="14"/>
      <c r="L65" s="28"/>
      <c r="M65" s="4"/>
    </row>
    <row r="66" spans="1:13" ht="25.5" x14ac:dyDescent="0.2">
      <c r="A66" s="10" t="s">
        <v>257</v>
      </c>
      <c r="B66" s="63" t="s">
        <v>21</v>
      </c>
      <c r="C66" s="163" t="s">
        <v>214</v>
      </c>
      <c r="D66" s="45" t="s">
        <v>526</v>
      </c>
      <c r="E66" s="29"/>
      <c r="F66" s="163" t="s">
        <v>607</v>
      </c>
      <c r="G66" s="4"/>
      <c r="H66" s="74">
        <v>22500</v>
      </c>
      <c r="I66" s="14"/>
      <c r="J66" s="38"/>
      <c r="K66" s="14"/>
      <c r="L66" s="38"/>
      <c r="M66" s="4"/>
    </row>
    <row r="67" spans="1:13" ht="25.5" x14ac:dyDescent="0.2">
      <c r="A67" s="7">
        <v>17</v>
      </c>
      <c r="B67" s="62" t="s">
        <v>124</v>
      </c>
      <c r="C67" s="163"/>
      <c r="D67" s="45"/>
      <c r="E67" s="29"/>
      <c r="F67" s="29"/>
      <c r="G67" s="4"/>
      <c r="H67" s="72">
        <f>H68+H69+H70</f>
        <v>6300</v>
      </c>
      <c r="I67" s="14"/>
      <c r="J67" s="28"/>
      <c r="K67" s="14"/>
      <c r="L67" s="28"/>
      <c r="M67" s="4"/>
    </row>
    <row r="68" spans="1:13" ht="33.75" x14ac:dyDescent="0.2">
      <c r="A68" s="64" t="s">
        <v>258</v>
      </c>
      <c r="B68" s="63" t="s">
        <v>231</v>
      </c>
      <c r="C68" s="163" t="s">
        <v>512</v>
      </c>
      <c r="D68" s="45" t="s">
        <v>510</v>
      </c>
      <c r="E68" s="163" t="s">
        <v>573</v>
      </c>
      <c r="F68" s="163" t="s">
        <v>610</v>
      </c>
      <c r="G68" s="41"/>
      <c r="H68" s="73">
        <v>300</v>
      </c>
      <c r="I68" s="155"/>
      <c r="J68" s="166">
        <v>67.8</v>
      </c>
      <c r="K68" s="155"/>
      <c r="L68" s="166">
        <f>J68</f>
        <v>67.8</v>
      </c>
      <c r="M68" s="41"/>
    </row>
    <row r="69" spans="1:13" ht="33.75" x14ac:dyDescent="0.2">
      <c r="A69" s="64" t="s">
        <v>259</v>
      </c>
      <c r="B69" s="63" t="s">
        <v>46</v>
      </c>
      <c r="C69" s="163" t="s">
        <v>214</v>
      </c>
      <c r="D69" s="45" t="s">
        <v>526</v>
      </c>
      <c r="E69" s="163" t="s">
        <v>565</v>
      </c>
      <c r="F69" s="163" t="s">
        <v>607</v>
      </c>
      <c r="G69" s="4"/>
      <c r="H69" s="73">
        <v>3000</v>
      </c>
      <c r="I69" s="14"/>
      <c r="J69" s="28">
        <v>2970</v>
      </c>
      <c r="K69" s="14"/>
      <c r="L69" s="28">
        <v>2970</v>
      </c>
      <c r="M69" s="4"/>
    </row>
    <row r="70" spans="1:13" ht="22.5" x14ac:dyDescent="0.2">
      <c r="A70" s="10" t="s">
        <v>260</v>
      </c>
      <c r="B70" s="63" t="s">
        <v>49</v>
      </c>
      <c r="C70" s="163" t="s">
        <v>214</v>
      </c>
      <c r="D70" s="45" t="s">
        <v>526</v>
      </c>
      <c r="E70" s="29"/>
      <c r="F70" s="163" t="s">
        <v>610</v>
      </c>
      <c r="G70" s="4"/>
      <c r="H70" s="74">
        <v>3000</v>
      </c>
      <c r="I70" s="14"/>
      <c r="J70" s="38"/>
      <c r="K70" s="14"/>
      <c r="L70" s="38"/>
      <c r="M70" s="4"/>
    </row>
    <row r="71" spans="1:13" ht="38.25" x14ac:dyDescent="0.2">
      <c r="A71" s="7">
        <v>18</v>
      </c>
      <c r="B71" s="62" t="s">
        <v>127</v>
      </c>
      <c r="C71" s="163"/>
      <c r="D71" s="45"/>
      <c r="E71" s="29"/>
      <c r="F71" s="29"/>
      <c r="G71" s="4"/>
      <c r="H71" s="75">
        <v>150000</v>
      </c>
      <c r="I71" s="14"/>
      <c r="J71" s="28"/>
      <c r="K71" s="14"/>
      <c r="L71" s="28"/>
      <c r="M71" s="4"/>
    </row>
    <row r="72" spans="1:13" ht="27" customHeight="1" x14ac:dyDescent="0.2">
      <c r="A72" s="65" t="s">
        <v>261</v>
      </c>
      <c r="B72" s="66" t="s">
        <v>128</v>
      </c>
      <c r="C72" s="163" t="s">
        <v>214</v>
      </c>
      <c r="D72" s="45" t="s">
        <v>527</v>
      </c>
      <c r="E72" s="29"/>
      <c r="F72" s="163" t="s">
        <v>607</v>
      </c>
      <c r="G72" s="4"/>
      <c r="H72" s="74">
        <v>150000</v>
      </c>
      <c r="I72" s="14"/>
      <c r="J72" s="38"/>
      <c r="K72" s="14"/>
      <c r="L72" s="38"/>
      <c r="M72" s="4"/>
    </row>
    <row r="73" spans="1:13" ht="25.5" x14ac:dyDescent="0.2">
      <c r="A73" s="7">
        <v>19</v>
      </c>
      <c r="B73" s="62" t="s">
        <v>129</v>
      </c>
      <c r="C73" s="163"/>
      <c r="D73" s="45"/>
      <c r="E73" s="163"/>
      <c r="F73" s="163"/>
      <c r="G73" s="4"/>
      <c r="H73" s="72">
        <f>H74+H75+H76</f>
        <v>69600</v>
      </c>
      <c r="I73" s="14"/>
      <c r="J73" s="28"/>
      <c r="K73" s="14"/>
      <c r="L73" s="28"/>
      <c r="M73" s="4"/>
    </row>
    <row r="74" spans="1:13" ht="33.75" x14ac:dyDescent="0.2">
      <c r="A74" s="10" t="s">
        <v>70</v>
      </c>
      <c r="B74" s="63" t="s">
        <v>231</v>
      </c>
      <c r="C74" s="163" t="s">
        <v>512</v>
      </c>
      <c r="D74" s="45" t="s">
        <v>510</v>
      </c>
      <c r="E74" s="163" t="s">
        <v>573</v>
      </c>
      <c r="F74" s="163" t="s">
        <v>610</v>
      </c>
      <c r="G74" s="4"/>
      <c r="H74" s="73">
        <v>600</v>
      </c>
      <c r="I74" s="14"/>
      <c r="J74" s="28">
        <v>135.6</v>
      </c>
      <c r="K74" s="14"/>
      <c r="L74" s="28">
        <v>135.6</v>
      </c>
      <c r="M74" s="4"/>
    </row>
    <row r="75" spans="1:13" ht="90" x14ac:dyDescent="0.2">
      <c r="A75" s="10" t="s">
        <v>132</v>
      </c>
      <c r="B75" s="63" t="s">
        <v>49</v>
      </c>
      <c r="C75" s="163" t="s">
        <v>214</v>
      </c>
      <c r="D75" s="45" t="s">
        <v>510</v>
      </c>
      <c r="E75" s="163" t="s">
        <v>528</v>
      </c>
      <c r="F75" s="163" t="s">
        <v>610</v>
      </c>
      <c r="G75" s="4"/>
      <c r="H75" s="73">
        <v>60000</v>
      </c>
      <c r="I75" s="14"/>
      <c r="J75" s="166">
        <v>60000</v>
      </c>
      <c r="K75" s="14"/>
      <c r="L75" s="28">
        <v>60000</v>
      </c>
      <c r="M75" s="4"/>
    </row>
    <row r="76" spans="1:13" ht="33.75" x14ac:dyDescent="0.2">
      <c r="A76" s="10" t="s">
        <v>133</v>
      </c>
      <c r="B76" s="63" t="s">
        <v>15</v>
      </c>
      <c r="C76" s="163" t="s">
        <v>513</v>
      </c>
      <c r="D76" s="45" t="s">
        <v>215</v>
      </c>
      <c r="E76" s="163" t="s">
        <v>517</v>
      </c>
      <c r="F76" s="29" t="s">
        <v>605</v>
      </c>
      <c r="G76" s="41"/>
      <c r="H76" s="74">
        <v>9000</v>
      </c>
      <c r="I76" s="155"/>
      <c r="J76" s="166">
        <f>7*763.67</f>
        <v>5345.69</v>
      </c>
      <c r="K76" s="155"/>
      <c r="L76" s="166">
        <f>J76</f>
        <v>5345.69</v>
      </c>
      <c r="M76" s="41"/>
    </row>
    <row r="77" spans="1:13" ht="38.25" x14ac:dyDescent="0.2">
      <c r="A77" s="7">
        <v>20</v>
      </c>
      <c r="B77" s="62" t="s">
        <v>262</v>
      </c>
      <c r="C77" s="163"/>
      <c r="D77" s="45"/>
      <c r="E77" s="29"/>
      <c r="F77" s="29"/>
      <c r="G77" s="4"/>
      <c r="H77" s="72">
        <f>10*1800</f>
        <v>18000</v>
      </c>
      <c r="I77" s="14"/>
      <c r="J77" s="28"/>
      <c r="K77" s="14"/>
      <c r="L77" s="28"/>
      <c r="M77" s="4"/>
    </row>
    <row r="78" spans="1:13" ht="33.75" x14ac:dyDescent="0.2">
      <c r="A78" s="10" t="s">
        <v>263</v>
      </c>
      <c r="B78" s="63" t="s">
        <v>15</v>
      </c>
      <c r="C78" s="163" t="s">
        <v>513</v>
      </c>
      <c r="D78" s="45" t="s">
        <v>215</v>
      </c>
      <c r="E78" s="163" t="s">
        <v>517</v>
      </c>
      <c r="F78" s="29" t="s">
        <v>605</v>
      </c>
      <c r="G78" s="41"/>
      <c r="H78" s="74">
        <v>18000</v>
      </c>
      <c r="I78" s="155"/>
      <c r="J78" s="166">
        <f>L78</f>
        <v>11376</v>
      </c>
      <c r="K78" s="155"/>
      <c r="L78" s="166">
        <f>9*1264</f>
        <v>11376</v>
      </c>
      <c r="M78" s="41"/>
    </row>
    <row r="79" spans="1:13" ht="40.5" customHeight="1" x14ac:dyDescent="0.2">
      <c r="A79" s="7">
        <v>21</v>
      </c>
      <c r="B79" s="62" t="s">
        <v>264</v>
      </c>
      <c r="C79" s="163"/>
      <c r="D79" s="45"/>
      <c r="E79" s="163"/>
      <c r="F79" s="163"/>
      <c r="G79" s="4"/>
      <c r="H79" s="72">
        <f>H80+H81+H82+H83+H84</f>
        <v>53375</v>
      </c>
      <c r="I79" s="14"/>
      <c r="J79" s="28"/>
      <c r="K79" s="14"/>
      <c r="L79" s="28"/>
      <c r="M79" s="4"/>
    </row>
    <row r="80" spans="1:13" ht="33.75" x14ac:dyDescent="0.2">
      <c r="A80" s="10" t="s">
        <v>265</v>
      </c>
      <c r="B80" s="63" t="s">
        <v>221</v>
      </c>
      <c r="C80" s="163" t="s">
        <v>214</v>
      </c>
      <c r="D80" s="44" t="s">
        <v>215</v>
      </c>
      <c r="E80" s="163" t="s">
        <v>382</v>
      </c>
      <c r="F80" s="163" t="s">
        <v>610</v>
      </c>
      <c r="G80" s="4"/>
      <c r="H80" s="73">
        <v>6000</v>
      </c>
      <c r="I80" s="14"/>
      <c r="J80" s="28">
        <v>6000</v>
      </c>
      <c r="K80" s="14"/>
      <c r="L80" s="28">
        <v>5250</v>
      </c>
      <c r="M80" s="4"/>
    </row>
    <row r="81" spans="1:13" ht="33.75" x14ac:dyDescent="0.2">
      <c r="A81" s="10" t="s">
        <v>266</v>
      </c>
      <c r="B81" s="63" t="s">
        <v>15</v>
      </c>
      <c r="C81" s="163" t="s">
        <v>513</v>
      </c>
      <c r="D81" s="45" t="s">
        <v>215</v>
      </c>
      <c r="E81" s="163" t="s">
        <v>517</v>
      </c>
      <c r="F81" s="29" t="s">
        <v>605</v>
      </c>
      <c r="G81" s="41"/>
      <c r="H81" s="73">
        <v>18000</v>
      </c>
      <c r="I81" s="155"/>
      <c r="J81" s="166">
        <f>L81</f>
        <v>14957.35</v>
      </c>
      <c r="K81" s="155"/>
      <c r="L81" s="166">
        <f>(6*1092.83)+(6*763.67)+(5*763.67)</f>
        <v>14957.35</v>
      </c>
      <c r="M81" s="41"/>
    </row>
    <row r="82" spans="1:13" ht="33.75" x14ac:dyDescent="0.2">
      <c r="A82" s="10" t="s">
        <v>267</v>
      </c>
      <c r="B82" s="63" t="s">
        <v>13</v>
      </c>
      <c r="C82" s="163" t="s">
        <v>511</v>
      </c>
      <c r="D82" s="44" t="s">
        <v>510</v>
      </c>
      <c r="E82" s="163" t="s">
        <v>515</v>
      </c>
      <c r="F82" s="163" t="s">
        <v>603</v>
      </c>
      <c r="G82" s="4"/>
      <c r="H82" s="73">
        <v>2375</v>
      </c>
      <c r="I82" s="14"/>
      <c r="J82" s="28">
        <v>1931.25</v>
      </c>
      <c r="K82" s="14"/>
      <c r="L82" s="28">
        <f>J82</f>
        <v>1931.25</v>
      </c>
      <c r="M82" s="4"/>
    </row>
    <row r="83" spans="1:13" ht="33.75" x14ac:dyDescent="0.2">
      <c r="A83" s="10" t="s">
        <v>268</v>
      </c>
      <c r="B83" s="63" t="s">
        <v>46</v>
      </c>
      <c r="C83" s="163" t="s">
        <v>214</v>
      </c>
      <c r="D83" s="45" t="s">
        <v>526</v>
      </c>
      <c r="E83" s="163" t="s">
        <v>566</v>
      </c>
      <c r="F83" s="163" t="s">
        <v>607</v>
      </c>
      <c r="G83" s="4"/>
      <c r="H83" s="73">
        <v>18000</v>
      </c>
      <c r="I83" s="14"/>
      <c r="J83" s="28">
        <v>11900</v>
      </c>
      <c r="K83" s="14"/>
      <c r="L83" s="28">
        <v>11900</v>
      </c>
      <c r="M83" s="4"/>
    </row>
    <row r="84" spans="1:13" ht="45" x14ac:dyDescent="0.2">
      <c r="A84" s="10" t="s">
        <v>269</v>
      </c>
      <c r="B84" s="63" t="s">
        <v>45</v>
      </c>
      <c r="C84" s="44" t="s">
        <v>214</v>
      </c>
      <c r="D84" s="45" t="s">
        <v>215</v>
      </c>
      <c r="E84" s="163" t="s">
        <v>529</v>
      </c>
      <c r="F84" s="163" t="s">
        <v>607</v>
      </c>
      <c r="G84" s="4"/>
      <c r="H84" s="74">
        <v>9000</v>
      </c>
      <c r="I84" s="14"/>
      <c r="J84" s="28">
        <v>7920</v>
      </c>
      <c r="K84" s="14"/>
      <c r="L84" s="28">
        <v>3960</v>
      </c>
      <c r="M84" s="4"/>
    </row>
    <row r="85" spans="1:13" ht="38.25" x14ac:dyDescent="0.2">
      <c r="A85" s="7">
        <v>22</v>
      </c>
      <c r="B85" s="62" t="s">
        <v>270</v>
      </c>
      <c r="C85" s="163"/>
      <c r="D85" s="45"/>
      <c r="E85" s="29"/>
      <c r="F85" s="29"/>
      <c r="G85" s="4"/>
      <c r="H85" s="72">
        <f>H86+H87</f>
        <v>25800</v>
      </c>
      <c r="I85" s="14"/>
      <c r="J85" s="38"/>
      <c r="K85" s="14"/>
      <c r="L85" s="38"/>
      <c r="M85" s="4"/>
    </row>
    <row r="86" spans="1:13" ht="33.75" x14ac:dyDescent="0.2">
      <c r="A86" s="10" t="s">
        <v>271</v>
      </c>
      <c r="B86" s="63" t="s">
        <v>15</v>
      </c>
      <c r="C86" s="163" t="s">
        <v>513</v>
      </c>
      <c r="D86" s="45" t="s">
        <v>215</v>
      </c>
      <c r="E86" s="163" t="s">
        <v>517</v>
      </c>
      <c r="F86" s="29" t="s">
        <v>605</v>
      </c>
      <c r="G86" s="41"/>
      <c r="H86" s="73">
        <v>16800</v>
      </c>
      <c r="I86" s="155"/>
      <c r="J86" s="166">
        <f>L86</f>
        <v>12890.15</v>
      </c>
      <c r="K86" s="155"/>
      <c r="L86" s="166">
        <f>(4*763.67)+(4*1092.83)+(5*1092.83)</f>
        <v>12890.15</v>
      </c>
      <c r="M86" s="41"/>
    </row>
    <row r="87" spans="1:13" ht="45" x14ac:dyDescent="0.2">
      <c r="A87" s="10" t="s">
        <v>272</v>
      </c>
      <c r="B87" s="63" t="s">
        <v>45</v>
      </c>
      <c r="C87" s="44" t="s">
        <v>214</v>
      </c>
      <c r="D87" s="45" t="s">
        <v>215</v>
      </c>
      <c r="E87" s="163" t="s">
        <v>529</v>
      </c>
      <c r="F87" s="163" t="s">
        <v>607</v>
      </c>
      <c r="G87" s="4"/>
      <c r="H87" s="74">
        <v>9000</v>
      </c>
      <c r="I87" s="14"/>
      <c r="J87" s="28">
        <v>7920</v>
      </c>
      <c r="K87" s="14"/>
      <c r="L87" s="28">
        <v>5280</v>
      </c>
      <c r="M87" s="4"/>
    </row>
    <row r="88" spans="1:13" ht="51" x14ac:dyDescent="0.2">
      <c r="A88" s="7">
        <v>24</v>
      </c>
      <c r="B88" s="62" t="s">
        <v>273</v>
      </c>
      <c r="C88" s="163"/>
      <c r="D88" s="45"/>
      <c r="E88" s="29"/>
      <c r="F88" s="29"/>
      <c r="G88" s="4"/>
      <c r="H88" s="72">
        <f>10*1800</f>
        <v>18000</v>
      </c>
      <c r="I88" s="14"/>
      <c r="J88" s="38"/>
      <c r="K88" s="14"/>
      <c r="L88" s="38"/>
      <c r="M88" s="4"/>
    </row>
    <row r="89" spans="1:13" ht="33.75" x14ac:dyDescent="0.2">
      <c r="A89" s="10" t="s">
        <v>274</v>
      </c>
      <c r="B89" s="63" t="s">
        <v>15</v>
      </c>
      <c r="C89" s="163" t="s">
        <v>513</v>
      </c>
      <c r="D89" s="45" t="s">
        <v>215</v>
      </c>
      <c r="E89" s="163" t="s">
        <v>517</v>
      </c>
      <c r="F89" s="29" t="s">
        <v>605</v>
      </c>
      <c r="G89" s="41"/>
      <c r="H89" s="74">
        <v>18000</v>
      </c>
      <c r="I89" s="155"/>
      <c r="J89" s="166">
        <f>L89</f>
        <v>13904</v>
      </c>
      <c r="K89" s="155"/>
      <c r="L89" s="166">
        <f>11*1264</f>
        <v>13904</v>
      </c>
      <c r="M89" s="41"/>
    </row>
    <row r="90" spans="1:13" ht="63.75" x14ac:dyDescent="0.2">
      <c r="A90" s="7">
        <v>25</v>
      </c>
      <c r="B90" s="62" t="s">
        <v>275</v>
      </c>
      <c r="C90" s="163"/>
      <c r="D90" s="45"/>
      <c r="E90" s="163"/>
      <c r="F90" s="163"/>
      <c r="G90" s="4"/>
      <c r="H90" s="72">
        <f>H91+H92</f>
        <v>36000</v>
      </c>
      <c r="I90" s="14"/>
      <c r="J90" s="28"/>
      <c r="K90" s="14"/>
      <c r="L90" s="28"/>
      <c r="M90" s="4"/>
    </row>
    <row r="91" spans="1:13" ht="33.75" x14ac:dyDescent="0.2">
      <c r="A91" s="10" t="s">
        <v>276</v>
      </c>
      <c r="B91" s="63" t="s">
        <v>15</v>
      </c>
      <c r="C91" s="163" t="s">
        <v>513</v>
      </c>
      <c r="D91" s="45" t="s">
        <v>215</v>
      </c>
      <c r="E91" s="163" t="s">
        <v>517</v>
      </c>
      <c r="F91" s="29" t="s">
        <v>605</v>
      </c>
      <c r="G91" s="41"/>
      <c r="H91" s="73">
        <f>60*300</f>
        <v>18000</v>
      </c>
      <c r="I91" s="155"/>
      <c r="J91" s="166">
        <f>L91</f>
        <v>12534.64</v>
      </c>
      <c r="K91" s="155"/>
      <c r="L91" s="166">
        <f>8*1566.83</f>
        <v>12534.64</v>
      </c>
      <c r="M91" s="41"/>
    </row>
    <row r="92" spans="1:13" ht="22.5" x14ac:dyDescent="0.2">
      <c r="A92" s="10" t="s">
        <v>277</v>
      </c>
      <c r="B92" s="63" t="s">
        <v>46</v>
      </c>
      <c r="C92" s="163" t="s">
        <v>214</v>
      </c>
      <c r="D92" s="45" t="s">
        <v>526</v>
      </c>
      <c r="E92" s="29"/>
      <c r="F92" s="163" t="s">
        <v>607</v>
      </c>
      <c r="G92" s="4"/>
      <c r="H92" s="74">
        <v>18000</v>
      </c>
      <c r="I92" s="14"/>
      <c r="J92" s="28"/>
      <c r="K92" s="14"/>
      <c r="L92" s="28"/>
      <c r="M92" s="4"/>
    </row>
    <row r="93" spans="1:13" ht="51" x14ac:dyDescent="0.2">
      <c r="A93" s="7">
        <v>26</v>
      </c>
      <c r="B93" s="62" t="s">
        <v>278</v>
      </c>
      <c r="C93" s="163"/>
      <c r="D93" s="45"/>
      <c r="E93" s="163"/>
      <c r="F93" s="29"/>
      <c r="G93" s="4"/>
      <c r="H93" s="72">
        <v>106000</v>
      </c>
      <c r="I93" s="14"/>
      <c r="J93" s="38"/>
      <c r="K93" s="14"/>
      <c r="L93" s="38"/>
      <c r="M93" s="4"/>
    </row>
    <row r="94" spans="1:13" ht="33.75" x14ac:dyDescent="0.2">
      <c r="A94" s="10" t="s">
        <v>279</v>
      </c>
      <c r="B94" s="63" t="s">
        <v>221</v>
      </c>
      <c r="C94" s="163" t="s">
        <v>214</v>
      </c>
      <c r="D94" s="44" t="s">
        <v>215</v>
      </c>
      <c r="E94" s="163" t="s">
        <v>382</v>
      </c>
      <c r="F94" s="163" t="s">
        <v>610</v>
      </c>
      <c r="G94" s="4"/>
      <c r="H94" s="73">
        <v>6000</v>
      </c>
      <c r="I94" s="14"/>
      <c r="J94" s="28">
        <v>5400</v>
      </c>
      <c r="K94" s="14"/>
      <c r="L94" s="28">
        <v>2700</v>
      </c>
      <c r="M94" s="4"/>
    </row>
    <row r="95" spans="1:13" ht="78.75" x14ac:dyDescent="0.2">
      <c r="A95" s="10" t="s">
        <v>280</v>
      </c>
      <c r="B95" s="63" t="s">
        <v>49</v>
      </c>
      <c r="C95" s="163" t="s">
        <v>521</v>
      </c>
      <c r="D95" s="45" t="s">
        <v>510</v>
      </c>
      <c r="E95" s="163" t="s">
        <v>567</v>
      </c>
      <c r="F95" s="163" t="s">
        <v>610</v>
      </c>
      <c r="G95" s="4"/>
      <c r="H95" s="74">
        <v>100000</v>
      </c>
      <c r="I95" s="14"/>
      <c r="J95" s="28">
        <f>8736+30409.74</f>
        <v>39145.740000000005</v>
      </c>
      <c r="K95" s="14"/>
      <c r="L95" s="28">
        <f>J95</f>
        <v>39145.740000000005</v>
      </c>
      <c r="M95" s="4"/>
    </row>
    <row r="96" spans="1:13" ht="51" x14ac:dyDescent="0.2">
      <c r="A96" s="7">
        <v>27</v>
      </c>
      <c r="B96" s="62" t="s">
        <v>281</v>
      </c>
      <c r="C96" s="163"/>
      <c r="D96" s="45"/>
      <c r="E96" s="29"/>
      <c r="F96" s="29"/>
      <c r="G96" s="4"/>
      <c r="H96" s="72">
        <v>15000</v>
      </c>
      <c r="I96" s="14"/>
      <c r="J96" s="38"/>
      <c r="K96" s="14"/>
      <c r="L96" s="38"/>
      <c r="M96" s="4"/>
    </row>
    <row r="97" spans="1:13" ht="33.75" x14ac:dyDescent="0.2">
      <c r="A97" s="10" t="s">
        <v>282</v>
      </c>
      <c r="B97" s="63" t="s">
        <v>221</v>
      </c>
      <c r="C97" s="163" t="s">
        <v>214</v>
      </c>
      <c r="D97" s="44" t="s">
        <v>215</v>
      </c>
      <c r="E97" s="163" t="s">
        <v>382</v>
      </c>
      <c r="F97" s="163" t="s">
        <v>610</v>
      </c>
      <c r="G97" s="4"/>
      <c r="H97" s="74">
        <v>15000</v>
      </c>
      <c r="I97" s="14"/>
      <c r="J97" s="28">
        <v>13500</v>
      </c>
      <c r="K97" s="14"/>
      <c r="L97" s="28">
        <v>5400</v>
      </c>
      <c r="M97" s="4"/>
    </row>
    <row r="98" spans="1:13" ht="38.25" x14ac:dyDescent="0.2">
      <c r="A98" s="7">
        <v>28</v>
      </c>
      <c r="B98" s="62" t="s">
        <v>130</v>
      </c>
      <c r="C98" s="163"/>
      <c r="D98" s="45"/>
      <c r="E98" s="163"/>
      <c r="F98" s="163"/>
      <c r="G98" s="4"/>
      <c r="H98" s="76">
        <f>H99</f>
        <v>18000</v>
      </c>
      <c r="I98" s="14"/>
      <c r="J98" s="28"/>
      <c r="K98" s="14"/>
      <c r="L98" s="28"/>
      <c r="M98" s="4"/>
    </row>
    <row r="99" spans="1:13" ht="33.75" x14ac:dyDescent="0.2">
      <c r="A99" s="10" t="s">
        <v>283</v>
      </c>
      <c r="B99" s="63" t="s">
        <v>15</v>
      </c>
      <c r="C99" s="163" t="s">
        <v>513</v>
      </c>
      <c r="D99" s="45" t="s">
        <v>215</v>
      </c>
      <c r="E99" s="163" t="s">
        <v>517</v>
      </c>
      <c r="F99" s="29" t="s">
        <v>605</v>
      </c>
      <c r="G99" s="41"/>
      <c r="H99" s="73">
        <f>10*1800</f>
        <v>18000</v>
      </c>
      <c r="I99" s="155"/>
      <c r="J99" s="166">
        <f>9*1566.83</f>
        <v>14101.47</v>
      </c>
      <c r="K99" s="155"/>
      <c r="L99" s="166">
        <f>9*1566.83</f>
        <v>14101.47</v>
      </c>
      <c r="M99" s="41"/>
    </row>
    <row r="100" spans="1:13" s="3" customFormat="1" ht="63.75" x14ac:dyDescent="0.2">
      <c r="A100" s="7">
        <v>29</v>
      </c>
      <c r="B100" s="62" t="s">
        <v>284</v>
      </c>
      <c r="C100" s="25"/>
      <c r="D100" s="50"/>
      <c r="E100" s="37"/>
      <c r="F100" s="37"/>
      <c r="G100" s="36"/>
      <c r="H100" s="76">
        <f>H101</f>
        <v>2000</v>
      </c>
      <c r="I100" s="39"/>
      <c r="J100" s="38"/>
      <c r="K100" s="39"/>
      <c r="L100" s="38"/>
      <c r="M100" s="36"/>
    </row>
    <row r="101" spans="1:13" ht="33.75" x14ac:dyDescent="0.2">
      <c r="A101" s="10" t="s">
        <v>285</v>
      </c>
      <c r="B101" s="63" t="s">
        <v>29</v>
      </c>
      <c r="C101" s="163" t="s">
        <v>521</v>
      </c>
      <c r="D101" s="45" t="s">
        <v>510</v>
      </c>
      <c r="E101" s="163" t="s">
        <v>572</v>
      </c>
      <c r="F101" s="163" t="s">
        <v>610</v>
      </c>
      <c r="G101" s="4"/>
      <c r="H101" s="73">
        <f>10*200</f>
        <v>2000</v>
      </c>
      <c r="I101" s="14"/>
      <c r="J101" s="28">
        <f>894.4+561.6</f>
        <v>1456</v>
      </c>
      <c r="K101" s="14"/>
      <c r="L101" s="28">
        <f>J101</f>
        <v>1456</v>
      </c>
      <c r="M101" s="4"/>
    </row>
    <row r="102" spans="1:13" s="3" customFormat="1" ht="25.5" x14ac:dyDescent="0.2">
      <c r="A102" s="7">
        <v>30</v>
      </c>
      <c r="B102" s="62" t="s">
        <v>137</v>
      </c>
      <c r="C102" s="25"/>
      <c r="D102" s="50"/>
      <c r="E102" s="37"/>
      <c r="F102" s="37"/>
      <c r="G102" s="36"/>
      <c r="H102" s="76">
        <f>H103+H104</f>
        <v>4590</v>
      </c>
      <c r="I102" s="39"/>
      <c r="J102" s="38"/>
      <c r="K102" s="39"/>
      <c r="L102" s="38"/>
      <c r="M102" s="36"/>
    </row>
    <row r="103" spans="1:13" ht="33.75" x14ac:dyDescent="0.2">
      <c r="A103" s="10" t="s">
        <v>286</v>
      </c>
      <c r="B103" s="63" t="s">
        <v>221</v>
      </c>
      <c r="C103" s="163" t="s">
        <v>214</v>
      </c>
      <c r="D103" s="44" t="s">
        <v>215</v>
      </c>
      <c r="E103" s="163" t="s">
        <v>382</v>
      </c>
      <c r="F103" s="163" t="s">
        <v>610</v>
      </c>
      <c r="G103" s="4"/>
      <c r="H103" s="73">
        <f>3*1500</f>
        <v>4500</v>
      </c>
      <c r="I103" s="14"/>
      <c r="J103" s="28">
        <v>4050</v>
      </c>
      <c r="K103" s="14"/>
      <c r="L103" s="28">
        <v>4050</v>
      </c>
      <c r="M103" s="4"/>
    </row>
    <row r="104" spans="1:13" s="3" customFormat="1" ht="33.75" x14ac:dyDescent="0.2">
      <c r="A104" s="10" t="s">
        <v>287</v>
      </c>
      <c r="B104" s="63" t="s">
        <v>231</v>
      </c>
      <c r="C104" s="163" t="s">
        <v>512</v>
      </c>
      <c r="D104" s="45" t="s">
        <v>510</v>
      </c>
      <c r="E104" s="163" t="s">
        <v>573</v>
      </c>
      <c r="F104" s="163" t="s">
        <v>610</v>
      </c>
      <c r="G104" s="41"/>
      <c r="H104" s="73">
        <f>3*30</f>
        <v>90</v>
      </c>
      <c r="I104" s="155"/>
      <c r="J104" s="166">
        <v>20.34</v>
      </c>
      <c r="K104" s="155"/>
      <c r="L104" s="166">
        <v>20.34</v>
      </c>
      <c r="M104" s="41"/>
    </row>
    <row r="105" spans="1:13" ht="38.25" x14ac:dyDescent="0.2">
      <c r="A105" s="7">
        <v>31</v>
      </c>
      <c r="B105" s="62" t="s">
        <v>0</v>
      </c>
      <c r="C105" s="163"/>
      <c r="D105" s="45"/>
      <c r="E105" s="29"/>
      <c r="F105" s="29"/>
      <c r="G105" s="4"/>
      <c r="H105" s="76">
        <f>H106</f>
        <v>12000</v>
      </c>
      <c r="I105" s="14"/>
      <c r="J105" s="28"/>
      <c r="K105" s="14"/>
      <c r="L105" s="28"/>
      <c r="M105" s="4"/>
    </row>
    <row r="106" spans="1:13" ht="45" x14ac:dyDescent="0.2">
      <c r="A106" s="10" t="s">
        <v>144</v>
      </c>
      <c r="B106" s="63" t="s">
        <v>45</v>
      </c>
      <c r="C106" s="44" t="s">
        <v>214</v>
      </c>
      <c r="D106" s="45" t="s">
        <v>215</v>
      </c>
      <c r="E106" s="163" t="s">
        <v>529</v>
      </c>
      <c r="F106" s="163" t="s">
        <v>607</v>
      </c>
      <c r="G106" s="4"/>
      <c r="H106" s="73">
        <f>(4*1500)*2</f>
        <v>12000</v>
      </c>
      <c r="I106" s="14"/>
      <c r="J106" s="28">
        <v>10560</v>
      </c>
      <c r="K106" s="14"/>
      <c r="L106" s="28">
        <v>10560</v>
      </c>
      <c r="M106" s="4"/>
    </row>
    <row r="107" spans="1:13" ht="63.75" x14ac:dyDescent="0.2">
      <c r="A107" s="7">
        <v>32</v>
      </c>
      <c r="B107" s="62" t="s">
        <v>288</v>
      </c>
      <c r="C107" s="163"/>
      <c r="D107" s="45"/>
      <c r="E107" s="29"/>
      <c r="F107" s="29"/>
      <c r="G107" s="4"/>
      <c r="H107" s="76">
        <f>H108</f>
        <v>2000</v>
      </c>
      <c r="I107" s="14"/>
      <c r="J107" s="28"/>
      <c r="K107" s="14"/>
      <c r="L107" s="28"/>
      <c r="M107" s="4"/>
    </row>
    <row r="108" spans="1:13" s="3" customFormat="1" ht="33.75" x14ac:dyDescent="0.2">
      <c r="A108" s="10" t="s">
        <v>289</v>
      </c>
      <c r="B108" s="63" t="s">
        <v>29</v>
      </c>
      <c r="C108" s="163" t="s">
        <v>521</v>
      </c>
      <c r="D108" s="45" t="s">
        <v>510</v>
      </c>
      <c r="E108" s="163" t="s">
        <v>572</v>
      </c>
      <c r="F108" s="163" t="s">
        <v>610</v>
      </c>
      <c r="G108" s="41"/>
      <c r="H108" s="73">
        <f>10*200</f>
        <v>2000</v>
      </c>
      <c r="I108" s="155"/>
      <c r="J108" s="166">
        <v>1045.2</v>
      </c>
      <c r="K108" s="155"/>
      <c r="L108" s="166">
        <f>J108</f>
        <v>1045.2</v>
      </c>
      <c r="M108" s="41"/>
    </row>
    <row r="109" spans="1:13" ht="63.75" x14ac:dyDescent="0.2">
      <c r="A109" s="7">
        <v>34</v>
      </c>
      <c r="B109" s="62" t="s">
        <v>290</v>
      </c>
      <c r="C109" s="163"/>
      <c r="D109" s="45"/>
      <c r="E109" s="163"/>
      <c r="F109" s="163"/>
      <c r="G109" s="4"/>
      <c r="H109" s="76">
        <f>H110</f>
        <v>2000</v>
      </c>
      <c r="I109" s="14"/>
      <c r="J109" s="28"/>
      <c r="K109" s="14"/>
      <c r="L109" s="28"/>
      <c r="M109" s="4"/>
    </row>
    <row r="110" spans="1:13" ht="33.75" x14ac:dyDescent="0.2">
      <c r="A110" s="10" t="s">
        <v>291</v>
      </c>
      <c r="B110" s="63" t="s">
        <v>29</v>
      </c>
      <c r="C110" s="163" t="s">
        <v>521</v>
      </c>
      <c r="D110" s="45" t="s">
        <v>510</v>
      </c>
      <c r="E110" s="163" t="s">
        <v>572</v>
      </c>
      <c r="F110" s="163" t="s">
        <v>610</v>
      </c>
      <c r="G110" s="4"/>
      <c r="H110" s="73">
        <v>2000</v>
      </c>
      <c r="I110" s="14"/>
      <c r="J110" s="166">
        <v>1045.2</v>
      </c>
      <c r="K110" s="14"/>
      <c r="L110" s="28">
        <f>J110</f>
        <v>1045.2</v>
      </c>
      <c r="M110" s="4"/>
    </row>
    <row r="111" spans="1:13" ht="63.75" x14ac:dyDescent="0.2">
      <c r="A111" s="7">
        <v>35</v>
      </c>
      <c r="B111" s="62" t="s">
        <v>292</v>
      </c>
      <c r="C111" s="163"/>
      <c r="D111" s="45"/>
      <c r="E111" s="29"/>
      <c r="F111" s="29"/>
      <c r="G111" s="4"/>
      <c r="H111" s="76">
        <f>H112</f>
        <v>18000</v>
      </c>
      <c r="I111" s="14"/>
      <c r="J111" s="28"/>
      <c r="K111" s="14"/>
      <c r="L111" s="28"/>
      <c r="M111" s="4"/>
    </row>
    <row r="112" spans="1:13" ht="33.75" x14ac:dyDescent="0.2">
      <c r="A112" s="10" t="s">
        <v>293</v>
      </c>
      <c r="B112" s="63" t="s">
        <v>15</v>
      </c>
      <c r="C112" s="163" t="s">
        <v>513</v>
      </c>
      <c r="D112" s="45" t="s">
        <v>215</v>
      </c>
      <c r="E112" s="163" t="s">
        <v>517</v>
      </c>
      <c r="F112" s="29" t="s">
        <v>605</v>
      </c>
      <c r="G112" s="41"/>
      <c r="H112" s="73">
        <f>10*1800</f>
        <v>18000</v>
      </c>
      <c r="I112" s="155"/>
      <c r="J112" s="166">
        <f>10*1566.83</f>
        <v>15668.3</v>
      </c>
      <c r="K112" s="155"/>
      <c r="L112" s="166"/>
      <c r="M112" s="41"/>
    </row>
    <row r="113" spans="1:15" ht="25.5" x14ac:dyDescent="0.2">
      <c r="A113" s="7">
        <v>36</v>
      </c>
      <c r="B113" s="62" t="s">
        <v>294</v>
      </c>
      <c r="C113" s="163"/>
      <c r="D113" s="45"/>
      <c r="E113" s="163"/>
      <c r="F113" s="163"/>
      <c r="G113" s="4"/>
      <c r="H113" s="72">
        <f>H114+H115+H116</f>
        <v>78400</v>
      </c>
      <c r="I113" s="14"/>
      <c r="J113" s="28"/>
      <c r="K113" s="14"/>
      <c r="L113" s="28"/>
      <c r="M113" s="4"/>
    </row>
    <row r="114" spans="1:15" s="3" customFormat="1" ht="25.5" x14ac:dyDescent="0.2">
      <c r="A114" s="10" t="s">
        <v>295</v>
      </c>
      <c r="B114" s="63" t="s">
        <v>231</v>
      </c>
      <c r="C114" s="163" t="s">
        <v>512</v>
      </c>
      <c r="D114" s="45" t="s">
        <v>510</v>
      </c>
      <c r="E114" s="163"/>
      <c r="F114" s="163" t="s">
        <v>610</v>
      </c>
      <c r="G114" s="41"/>
      <c r="H114" s="73">
        <v>600</v>
      </c>
      <c r="I114" s="155"/>
      <c r="J114" s="166"/>
      <c r="K114" s="155"/>
      <c r="L114" s="166"/>
      <c r="M114" s="41"/>
    </row>
    <row r="115" spans="1:15" ht="90" x14ac:dyDescent="0.2">
      <c r="A115" s="10" t="s">
        <v>296</v>
      </c>
      <c r="B115" s="63" t="s">
        <v>49</v>
      </c>
      <c r="C115" s="163" t="s">
        <v>214</v>
      </c>
      <c r="D115" s="45" t="s">
        <v>530</v>
      </c>
      <c r="E115" s="163" t="s">
        <v>601</v>
      </c>
      <c r="F115" s="163" t="s">
        <v>610</v>
      </c>
      <c r="G115" s="4"/>
      <c r="H115" s="73">
        <f>35*2000</f>
        <v>70000</v>
      </c>
      <c r="I115" s="14"/>
      <c r="J115" s="28">
        <v>57500</v>
      </c>
      <c r="K115" s="14"/>
      <c r="L115" s="28">
        <v>57500</v>
      </c>
      <c r="M115" s="4"/>
    </row>
    <row r="116" spans="1:15" ht="33.75" x14ac:dyDescent="0.2">
      <c r="A116" s="10" t="s">
        <v>297</v>
      </c>
      <c r="B116" s="63" t="s">
        <v>15</v>
      </c>
      <c r="C116" s="163" t="s">
        <v>513</v>
      </c>
      <c r="D116" s="45" t="s">
        <v>215</v>
      </c>
      <c r="E116" s="163" t="s">
        <v>517</v>
      </c>
      <c r="F116" s="29" t="s">
        <v>605</v>
      </c>
      <c r="G116" s="41"/>
      <c r="H116" s="74">
        <f>6*1300</f>
        <v>7800</v>
      </c>
      <c r="I116" s="155"/>
      <c r="J116" s="166">
        <f>4*1092.83</f>
        <v>4371.32</v>
      </c>
      <c r="K116" s="155"/>
      <c r="L116" s="166"/>
      <c r="M116" s="41"/>
    </row>
    <row r="117" spans="1:15" ht="25.5" x14ac:dyDescent="0.2">
      <c r="A117" s="7">
        <v>37</v>
      </c>
      <c r="B117" s="62" t="s">
        <v>140</v>
      </c>
      <c r="C117" s="163"/>
      <c r="D117" s="45"/>
      <c r="E117" s="163"/>
      <c r="F117" s="163"/>
      <c r="G117" s="4"/>
      <c r="H117" s="76">
        <f>H118+H119+H120+H121</f>
        <v>18990</v>
      </c>
      <c r="I117" s="14"/>
      <c r="J117" s="28"/>
      <c r="K117" s="14"/>
      <c r="L117" s="28"/>
      <c r="M117" s="35"/>
    </row>
    <row r="118" spans="1:15" ht="22.5" x14ac:dyDescent="0.2">
      <c r="A118" s="10" t="s">
        <v>298</v>
      </c>
      <c r="B118" s="63" t="s">
        <v>23</v>
      </c>
      <c r="C118" s="163" t="s">
        <v>214</v>
      </c>
      <c r="D118" s="45" t="s">
        <v>530</v>
      </c>
      <c r="E118" s="29"/>
      <c r="F118" s="163" t="s">
        <v>607</v>
      </c>
      <c r="G118" s="4"/>
      <c r="H118" s="73">
        <v>6000</v>
      </c>
      <c r="I118" s="14"/>
      <c r="J118" s="28"/>
      <c r="K118" s="14"/>
      <c r="L118" s="28"/>
      <c r="M118" s="4"/>
    </row>
    <row r="119" spans="1:15" s="3" customFormat="1" ht="33.75" x14ac:dyDescent="0.2">
      <c r="A119" s="10" t="s">
        <v>299</v>
      </c>
      <c r="B119" s="63" t="s">
        <v>231</v>
      </c>
      <c r="C119" s="163" t="s">
        <v>512</v>
      </c>
      <c r="D119" s="45" t="s">
        <v>510</v>
      </c>
      <c r="E119" s="163" t="s">
        <v>573</v>
      </c>
      <c r="F119" s="163" t="s">
        <v>610</v>
      </c>
      <c r="G119" s="41"/>
      <c r="H119" s="73">
        <f>3*30</f>
        <v>90</v>
      </c>
      <c r="I119" s="155"/>
      <c r="J119" s="166">
        <v>20.34</v>
      </c>
      <c r="K119" s="155"/>
      <c r="L119" s="166">
        <v>20.34</v>
      </c>
      <c r="M119" s="41"/>
    </row>
    <row r="120" spans="1:15" ht="22.5" x14ac:dyDescent="0.2">
      <c r="A120" s="10" t="s">
        <v>300</v>
      </c>
      <c r="B120" s="63" t="s">
        <v>49</v>
      </c>
      <c r="C120" s="163" t="s">
        <v>214</v>
      </c>
      <c r="D120" s="45" t="s">
        <v>530</v>
      </c>
      <c r="E120" s="163"/>
      <c r="F120" s="163" t="s">
        <v>610</v>
      </c>
      <c r="G120" s="4"/>
      <c r="H120" s="73">
        <f>3*800</f>
        <v>2400</v>
      </c>
      <c r="I120" s="14"/>
      <c r="J120" s="28"/>
      <c r="K120" s="14"/>
      <c r="L120" s="28"/>
      <c r="M120" s="4"/>
    </row>
    <row r="121" spans="1:15" ht="33.75" x14ac:dyDescent="0.2">
      <c r="A121" s="10" t="s">
        <v>301</v>
      </c>
      <c r="B121" s="63" t="s">
        <v>221</v>
      </c>
      <c r="C121" s="163" t="s">
        <v>214</v>
      </c>
      <c r="D121" s="44" t="s">
        <v>215</v>
      </c>
      <c r="E121" s="163" t="s">
        <v>382</v>
      </c>
      <c r="F121" s="163" t="s">
        <v>610</v>
      </c>
      <c r="G121" s="4"/>
      <c r="H121" s="73">
        <f>7*1500</f>
        <v>10500</v>
      </c>
      <c r="I121" s="14"/>
      <c r="J121" s="28">
        <v>9100</v>
      </c>
      <c r="K121" s="14"/>
      <c r="L121" s="28"/>
      <c r="M121" s="4"/>
    </row>
    <row r="122" spans="1:15" ht="25.5" x14ac:dyDescent="0.2">
      <c r="A122" s="7">
        <v>38</v>
      </c>
      <c r="B122" s="62" t="s">
        <v>141</v>
      </c>
      <c r="C122" s="44"/>
      <c r="D122" s="45"/>
      <c r="E122" s="163"/>
      <c r="F122" s="163"/>
      <c r="G122" s="4"/>
      <c r="H122" s="76">
        <f>H123+H124+H125+H126</f>
        <v>74800</v>
      </c>
      <c r="I122" s="14"/>
      <c r="J122" s="28"/>
      <c r="K122" s="14"/>
      <c r="L122" s="28"/>
      <c r="M122" s="4"/>
    </row>
    <row r="123" spans="1:15" s="3" customFormat="1" ht="33.75" x14ac:dyDescent="0.2">
      <c r="A123" s="10" t="s">
        <v>302</v>
      </c>
      <c r="B123" s="63" t="s">
        <v>245</v>
      </c>
      <c r="C123" s="163" t="s">
        <v>214</v>
      </c>
      <c r="D123" s="45" t="s">
        <v>530</v>
      </c>
      <c r="E123" s="163" t="s">
        <v>568</v>
      </c>
      <c r="F123" s="163" t="s">
        <v>607</v>
      </c>
      <c r="G123" s="41"/>
      <c r="H123" s="73">
        <f>1*35000+15000</f>
        <v>50000</v>
      </c>
      <c r="I123" s="155"/>
      <c r="J123" s="166">
        <v>50000</v>
      </c>
      <c r="K123" s="155"/>
      <c r="L123" s="166">
        <v>50000</v>
      </c>
      <c r="M123" s="41"/>
    </row>
    <row r="124" spans="1:15" ht="33.75" x14ac:dyDescent="0.2">
      <c r="A124" s="10" t="s">
        <v>303</v>
      </c>
      <c r="B124" s="63" t="s">
        <v>13</v>
      </c>
      <c r="C124" s="163" t="s">
        <v>511</v>
      </c>
      <c r="D124" s="44" t="s">
        <v>510</v>
      </c>
      <c r="E124" s="163" t="s">
        <v>515</v>
      </c>
      <c r="F124" s="163" t="s">
        <v>603</v>
      </c>
      <c r="G124" s="4"/>
      <c r="H124" s="73">
        <v>9500</v>
      </c>
      <c r="I124" s="14"/>
      <c r="J124" s="28">
        <v>7725</v>
      </c>
      <c r="K124" s="14"/>
      <c r="L124" s="28">
        <f>J124</f>
        <v>7725</v>
      </c>
      <c r="M124" s="4"/>
    </row>
    <row r="125" spans="1:15" s="2" customFormat="1" ht="33.75" x14ac:dyDescent="0.2">
      <c r="A125" s="10" t="s">
        <v>304</v>
      </c>
      <c r="B125" s="63" t="s">
        <v>231</v>
      </c>
      <c r="C125" s="163" t="s">
        <v>512</v>
      </c>
      <c r="D125" s="45" t="s">
        <v>510</v>
      </c>
      <c r="E125" s="163" t="s">
        <v>573</v>
      </c>
      <c r="F125" s="163" t="s">
        <v>610</v>
      </c>
      <c r="G125" s="41"/>
      <c r="H125" s="73">
        <f>10*30</f>
        <v>300</v>
      </c>
      <c r="I125" s="155"/>
      <c r="J125" s="166">
        <v>67.8</v>
      </c>
      <c r="K125" s="155"/>
      <c r="L125" s="166">
        <v>67.8</v>
      </c>
      <c r="M125" s="41"/>
    </row>
    <row r="126" spans="1:15" ht="33.75" x14ac:dyDescent="0.2">
      <c r="A126" s="10" t="s">
        <v>305</v>
      </c>
      <c r="B126" s="63" t="s">
        <v>27</v>
      </c>
      <c r="C126" s="163" t="s">
        <v>531</v>
      </c>
      <c r="D126" s="45" t="s">
        <v>215</v>
      </c>
      <c r="E126" s="163" t="s">
        <v>532</v>
      </c>
      <c r="F126" s="163" t="s">
        <v>607</v>
      </c>
      <c r="G126" s="4"/>
      <c r="H126" s="73">
        <f>1*15000</f>
        <v>15000</v>
      </c>
      <c r="I126" s="14"/>
      <c r="J126" s="28">
        <v>10375</v>
      </c>
      <c r="K126" s="14"/>
      <c r="L126" s="28"/>
      <c r="M126" s="4"/>
    </row>
    <row r="127" spans="1:15" s="3" customFormat="1" ht="25.5" x14ac:dyDescent="0.2">
      <c r="A127" s="7">
        <v>39</v>
      </c>
      <c r="B127" s="62" t="s">
        <v>143</v>
      </c>
      <c r="C127" s="163"/>
      <c r="D127" s="45"/>
      <c r="E127" s="37"/>
      <c r="F127" s="37"/>
      <c r="G127" s="36"/>
      <c r="H127" s="76">
        <f>H128</f>
        <v>3000</v>
      </c>
      <c r="I127" s="39"/>
      <c r="J127" s="38"/>
      <c r="K127" s="39"/>
      <c r="L127" s="38"/>
      <c r="M127" s="36"/>
    </row>
    <row r="128" spans="1:15" ht="33.75" x14ac:dyDescent="0.2">
      <c r="A128" s="10" t="s">
        <v>306</v>
      </c>
      <c r="B128" s="63" t="s">
        <v>221</v>
      </c>
      <c r="C128" s="163" t="s">
        <v>214</v>
      </c>
      <c r="D128" s="44" t="s">
        <v>215</v>
      </c>
      <c r="E128" s="163" t="s">
        <v>382</v>
      </c>
      <c r="F128" s="163" t="s">
        <v>610</v>
      </c>
      <c r="G128" s="4"/>
      <c r="H128" s="73">
        <f>1*3000</f>
        <v>3000</v>
      </c>
      <c r="I128" s="14"/>
      <c r="J128" s="28">
        <v>3000</v>
      </c>
      <c r="K128" s="14"/>
      <c r="L128" s="28">
        <v>3000</v>
      </c>
      <c r="M128" s="4"/>
      <c r="N128" s="42"/>
      <c r="O128" s="2"/>
    </row>
    <row r="129" spans="1:13" s="3" customFormat="1" x14ac:dyDescent="0.2">
      <c r="A129" s="7">
        <v>40</v>
      </c>
      <c r="B129" s="62" t="s">
        <v>60</v>
      </c>
      <c r="C129" s="25"/>
      <c r="D129" s="50"/>
      <c r="E129" s="37"/>
      <c r="F129" s="37"/>
      <c r="G129" s="36"/>
      <c r="H129" s="76">
        <f>H130+H131</f>
        <v>182500</v>
      </c>
      <c r="I129" s="39"/>
      <c r="J129" s="38"/>
      <c r="K129" s="39"/>
      <c r="L129" s="38"/>
      <c r="M129" s="36"/>
    </row>
    <row r="130" spans="1:13" ht="33.75" x14ac:dyDescent="0.2">
      <c r="A130" s="10" t="s">
        <v>307</v>
      </c>
      <c r="B130" s="63" t="s">
        <v>221</v>
      </c>
      <c r="C130" s="163" t="s">
        <v>214</v>
      </c>
      <c r="D130" s="44" t="s">
        <v>215</v>
      </c>
      <c r="E130" s="163" t="s">
        <v>382</v>
      </c>
      <c r="F130" s="163" t="s">
        <v>610</v>
      </c>
      <c r="G130" s="4"/>
      <c r="H130" s="73">
        <f>1500*15</f>
        <v>22500</v>
      </c>
      <c r="I130" s="14"/>
      <c r="J130" s="28">
        <v>20250</v>
      </c>
      <c r="K130" s="14"/>
      <c r="L130" s="28">
        <v>20250</v>
      </c>
      <c r="M130" s="4"/>
    </row>
    <row r="131" spans="1:13" s="3" customFormat="1" ht="67.5" x14ac:dyDescent="0.2">
      <c r="A131" s="10" t="s">
        <v>308</v>
      </c>
      <c r="B131" s="63" t="s">
        <v>49</v>
      </c>
      <c r="C131" s="163" t="s">
        <v>533</v>
      </c>
      <c r="D131" s="45" t="s">
        <v>510</v>
      </c>
      <c r="E131" s="163" t="s">
        <v>569</v>
      </c>
      <c r="F131" s="163" t="s">
        <v>610</v>
      </c>
      <c r="G131" s="41"/>
      <c r="H131" s="73">
        <f>200*800</f>
        <v>160000</v>
      </c>
      <c r="I131" s="155"/>
      <c r="J131" s="166">
        <f>28080.55+54870</f>
        <v>82950.55</v>
      </c>
      <c r="K131" s="155"/>
      <c r="L131" s="166">
        <f>J131</f>
        <v>82950.55</v>
      </c>
      <c r="M131" s="41"/>
    </row>
    <row r="132" spans="1:13" ht="63.75" x14ac:dyDescent="0.2">
      <c r="A132" s="7">
        <v>41</v>
      </c>
      <c r="B132" s="62" t="s">
        <v>309</v>
      </c>
      <c r="C132" s="163"/>
      <c r="D132" s="45"/>
      <c r="E132" s="163"/>
      <c r="F132" s="163"/>
      <c r="G132" s="4"/>
      <c r="H132" s="76">
        <f>H133</f>
        <v>60000</v>
      </c>
      <c r="I132" s="14"/>
      <c r="J132" s="28"/>
      <c r="K132" s="14"/>
      <c r="L132" s="28"/>
      <c r="M132" s="4"/>
    </row>
    <row r="133" spans="1:13" ht="33.75" x14ac:dyDescent="0.2">
      <c r="A133" s="10" t="s">
        <v>310</v>
      </c>
      <c r="B133" s="63" t="s">
        <v>29</v>
      </c>
      <c r="C133" s="163" t="s">
        <v>521</v>
      </c>
      <c r="D133" s="45" t="s">
        <v>510</v>
      </c>
      <c r="E133" s="163" t="s">
        <v>572</v>
      </c>
      <c r="F133" s="163" t="s">
        <v>610</v>
      </c>
      <c r="G133" s="4"/>
      <c r="H133" s="73">
        <f>(20*5*4*3)*50</f>
        <v>60000</v>
      </c>
      <c r="I133" s="14"/>
      <c r="J133" s="28">
        <f>3412+30680</f>
        <v>34092</v>
      </c>
      <c r="K133" s="14"/>
      <c r="L133" s="28">
        <f>J133</f>
        <v>34092</v>
      </c>
      <c r="M133" s="4"/>
    </row>
    <row r="134" spans="1:13" s="3" customFormat="1" ht="25.5" x14ac:dyDescent="0.2">
      <c r="A134" s="7">
        <v>42</v>
      </c>
      <c r="B134" s="62" t="s">
        <v>145</v>
      </c>
      <c r="C134" s="25"/>
      <c r="D134" s="50"/>
      <c r="E134" s="37"/>
      <c r="F134" s="37"/>
      <c r="G134" s="36"/>
      <c r="H134" s="76">
        <f>H135</f>
        <v>6000</v>
      </c>
      <c r="I134" s="39"/>
      <c r="J134" s="38"/>
      <c r="K134" s="39"/>
      <c r="L134" s="38"/>
      <c r="M134" s="36"/>
    </row>
    <row r="135" spans="1:13" ht="33.75" x14ac:dyDescent="0.2">
      <c r="A135" s="10" t="s">
        <v>311</v>
      </c>
      <c r="B135" s="63" t="s">
        <v>221</v>
      </c>
      <c r="C135" s="163" t="s">
        <v>214</v>
      </c>
      <c r="D135" s="44" t="s">
        <v>215</v>
      </c>
      <c r="E135" s="163" t="s">
        <v>382</v>
      </c>
      <c r="F135" s="163" t="s">
        <v>610</v>
      </c>
      <c r="G135" s="4"/>
      <c r="H135" s="73">
        <f>(60*50)+ 3000</f>
        <v>6000</v>
      </c>
      <c r="I135" s="14"/>
      <c r="J135" s="28">
        <v>6000</v>
      </c>
      <c r="K135" s="14"/>
      <c r="L135" s="28"/>
      <c r="M135" s="4"/>
    </row>
    <row r="136" spans="1:13" ht="38.25" x14ac:dyDescent="0.2">
      <c r="A136" s="7">
        <v>43</v>
      </c>
      <c r="B136" s="62" t="s">
        <v>312</v>
      </c>
      <c r="C136" s="163"/>
      <c r="D136" s="45"/>
      <c r="E136" s="29"/>
      <c r="F136" s="29"/>
      <c r="G136" s="4"/>
      <c r="H136" s="76">
        <f>H137</f>
        <v>250000</v>
      </c>
      <c r="I136" s="14"/>
      <c r="J136" s="28"/>
      <c r="K136" s="14"/>
      <c r="L136" s="28"/>
      <c r="M136" s="4"/>
    </row>
    <row r="137" spans="1:13" s="3" customFormat="1" ht="27" customHeight="1" x14ac:dyDescent="0.2">
      <c r="A137" s="10" t="s">
        <v>313</v>
      </c>
      <c r="B137" s="86" t="s">
        <v>128</v>
      </c>
      <c r="C137" s="163" t="s">
        <v>214</v>
      </c>
      <c r="D137" s="45" t="s">
        <v>527</v>
      </c>
      <c r="E137" s="29"/>
      <c r="F137" s="163" t="s">
        <v>607</v>
      </c>
      <c r="G137" s="41"/>
      <c r="H137" s="73">
        <v>250000</v>
      </c>
      <c r="I137" s="155"/>
      <c r="J137" s="166"/>
      <c r="K137" s="155"/>
      <c r="L137" s="166"/>
      <c r="M137" s="41"/>
    </row>
    <row r="138" spans="1:13" ht="38.25" x14ac:dyDescent="0.2">
      <c r="A138" s="7">
        <v>44</v>
      </c>
      <c r="B138" s="62" t="s">
        <v>146</v>
      </c>
      <c r="C138" s="44"/>
      <c r="D138" s="45"/>
      <c r="E138" s="163"/>
      <c r="F138" s="163"/>
      <c r="G138" s="4"/>
      <c r="H138" s="76">
        <f>H139</f>
        <v>7500</v>
      </c>
      <c r="I138" s="14"/>
      <c r="J138" s="28"/>
      <c r="K138" s="14"/>
      <c r="L138" s="28"/>
      <c r="M138" s="4"/>
    </row>
    <row r="139" spans="1:13" s="3" customFormat="1" ht="22.5" x14ac:dyDescent="0.2">
      <c r="A139" s="10" t="s">
        <v>314</v>
      </c>
      <c r="B139" s="63" t="s">
        <v>46</v>
      </c>
      <c r="C139" s="163" t="s">
        <v>214</v>
      </c>
      <c r="D139" s="45" t="s">
        <v>534</v>
      </c>
      <c r="E139" s="29"/>
      <c r="F139" s="163" t="s">
        <v>607</v>
      </c>
      <c r="G139" s="41"/>
      <c r="H139" s="73">
        <f>30*250</f>
        <v>7500</v>
      </c>
      <c r="I139" s="155"/>
      <c r="J139" s="166"/>
      <c r="K139" s="155"/>
      <c r="L139" s="166"/>
      <c r="M139" s="41"/>
    </row>
    <row r="140" spans="1:13" ht="25.5" x14ac:dyDescent="0.2">
      <c r="A140" s="7">
        <v>45</v>
      </c>
      <c r="B140" s="62" t="s">
        <v>147</v>
      </c>
      <c r="C140" s="44"/>
      <c r="D140" s="45"/>
      <c r="E140" s="163"/>
      <c r="F140" s="163"/>
      <c r="G140" s="4"/>
      <c r="H140" s="76">
        <f>H141+H142</f>
        <v>234000</v>
      </c>
      <c r="I140" s="14"/>
      <c r="J140" s="28"/>
      <c r="K140" s="14"/>
      <c r="L140" s="28"/>
      <c r="M140" s="4"/>
    </row>
    <row r="141" spans="1:13" s="3" customFormat="1" ht="22.5" x14ac:dyDescent="0.2">
      <c r="A141" s="10" t="s">
        <v>315</v>
      </c>
      <c r="B141" s="63" t="s">
        <v>15</v>
      </c>
      <c r="C141" s="163" t="s">
        <v>214</v>
      </c>
      <c r="D141" s="45" t="s">
        <v>534</v>
      </c>
      <c r="E141" s="29"/>
      <c r="F141" s="29" t="s">
        <v>605</v>
      </c>
      <c r="G141" s="41"/>
      <c r="H141" s="73">
        <f>(12*10)*1800</f>
        <v>216000</v>
      </c>
      <c r="I141" s="155"/>
      <c r="J141" s="166"/>
      <c r="K141" s="155"/>
      <c r="L141" s="166"/>
      <c r="M141" s="41"/>
    </row>
    <row r="142" spans="1:13" ht="22.5" x14ac:dyDescent="0.2">
      <c r="A142" s="10" t="s">
        <v>151</v>
      </c>
      <c r="B142" s="63" t="s">
        <v>15</v>
      </c>
      <c r="C142" s="163" t="s">
        <v>214</v>
      </c>
      <c r="D142" s="45" t="s">
        <v>534</v>
      </c>
      <c r="E142" s="163"/>
      <c r="F142" s="29" t="s">
        <v>605</v>
      </c>
      <c r="G142" s="41"/>
      <c r="H142" s="73">
        <f>10*1800</f>
        <v>18000</v>
      </c>
      <c r="I142" s="155"/>
      <c r="J142" s="166"/>
      <c r="K142" s="155"/>
      <c r="L142" s="166"/>
      <c r="M142" s="41"/>
    </row>
    <row r="143" spans="1:13" ht="25.5" x14ac:dyDescent="0.2">
      <c r="A143" s="7">
        <v>46</v>
      </c>
      <c r="B143" s="62" t="s">
        <v>149</v>
      </c>
      <c r="C143" s="44"/>
      <c r="D143" s="45"/>
      <c r="E143" s="163"/>
      <c r="F143" s="163"/>
      <c r="G143" s="4"/>
      <c r="H143" s="76">
        <f>H144+H145+H146</f>
        <v>78800</v>
      </c>
      <c r="I143" s="14"/>
      <c r="J143" s="28"/>
      <c r="K143" s="14"/>
      <c r="L143" s="28"/>
      <c r="M143" s="4"/>
    </row>
    <row r="144" spans="1:13" ht="33.75" x14ac:dyDescent="0.2">
      <c r="A144" s="64" t="s">
        <v>316</v>
      </c>
      <c r="B144" s="63" t="s">
        <v>231</v>
      </c>
      <c r="C144" s="163" t="s">
        <v>512</v>
      </c>
      <c r="D144" s="45" t="s">
        <v>510</v>
      </c>
      <c r="E144" s="163" t="s">
        <v>573</v>
      </c>
      <c r="F144" s="163" t="s">
        <v>610</v>
      </c>
      <c r="G144" s="4"/>
      <c r="H144" s="73">
        <f>10*30</f>
        <v>300</v>
      </c>
      <c r="I144" s="14"/>
      <c r="J144" s="28">
        <v>67.8</v>
      </c>
      <c r="K144" s="14"/>
      <c r="L144" s="28">
        <v>67.8</v>
      </c>
      <c r="M144" s="4"/>
    </row>
    <row r="145" spans="1:13" ht="22.5" x14ac:dyDescent="0.2">
      <c r="A145" s="64" t="s">
        <v>317</v>
      </c>
      <c r="B145" s="63" t="s">
        <v>29</v>
      </c>
      <c r="C145" s="44" t="s">
        <v>214</v>
      </c>
      <c r="D145" s="45" t="s">
        <v>534</v>
      </c>
      <c r="E145" s="163"/>
      <c r="F145" s="163" t="s">
        <v>610</v>
      </c>
      <c r="G145" s="4"/>
      <c r="H145" s="73">
        <f>100*700</f>
        <v>70000</v>
      </c>
      <c r="I145" s="14"/>
      <c r="J145" s="28"/>
      <c r="K145" s="14"/>
      <c r="L145" s="28"/>
      <c r="M145" s="4"/>
    </row>
    <row r="146" spans="1:13" ht="33.75" x14ac:dyDescent="0.2">
      <c r="A146" s="10" t="s">
        <v>318</v>
      </c>
      <c r="B146" s="63" t="s">
        <v>15</v>
      </c>
      <c r="C146" s="163" t="s">
        <v>513</v>
      </c>
      <c r="D146" s="45" t="s">
        <v>215</v>
      </c>
      <c r="E146" s="163" t="s">
        <v>517</v>
      </c>
      <c r="F146" s="29" t="s">
        <v>605</v>
      </c>
      <c r="G146" s="41"/>
      <c r="H146" s="73">
        <f>10*850</f>
        <v>8500</v>
      </c>
      <c r="I146" s="155"/>
      <c r="J146" s="166">
        <f>(9*763.67)+763.57</f>
        <v>7636.5999999999995</v>
      </c>
      <c r="K146" s="155"/>
      <c r="L146" s="166"/>
      <c r="M146" s="41"/>
    </row>
    <row r="147" spans="1:13" ht="38.25" x14ac:dyDescent="0.2">
      <c r="A147" s="7">
        <v>47</v>
      </c>
      <c r="B147" s="62" t="s">
        <v>130</v>
      </c>
      <c r="C147" s="163"/>
      <c r="D147" s="45"/>
      <c r="E147" s="163"/>
      <c r="F147" s="163"/>
      <c r="G147" s="4"/>
      <c r="H147" s="76">
        <f>H148</f>
        <v>18000</v>
      </c>
      <c r="I147" s="14"/>
      <c r="J147" s="28"/>
      <c r="K147" s="14"/>
      <c r="L147" s="28"/>
      <c r="M147" s="4"/>
    </row>
    <row r="148" spans="1:13" ht="33.75" x14ac:dyDescent="0.2">
      <c r="A148" s="10" t="s">
        <v>319</v>
      </c>
      <c r="B148" s="63" t="s">
        <v>15</v>
      </c>
      <c r="C148" s="163" t="s">
        <v>513</v>
      </c>
      <c r="D148" s="45" t="s">
        <v>215</v>
      </c>
      <c r="E148" s="163" t="s">
        <v>517</v>
      </c>
      <c r="F148" s="29" t="s">
        <v>605</v>
      </c>
      <c r="G148" s="41"/>
      <c r="H148" s="73">
        <f>10*1800</f>
        <v>18000</v>
      </c>
      <c r="I148" s="155"/>
      <c r="J148" s="166">
        <f>10*1566.83</f>
        <v>15668.3</v>
      </c>
      <c r="K148" s="155"/>
      <c r="L148" s="166"/>
      <c r="M148" s="41"/>
    </row>
    <row r="149" spans="1:13" s="3" customFormat="1" ht="25.5" x14ac:dyDescent="0.2">
      <c r="A149" s="7">
        <v>48</v>
      </c>
      <c r="B149" s="62" t="s">
        <v>320</v>
      </c>
      <c r="C149" s="25"/>
      <c r="D149" s="50"/>
      <c r="E149" s="37"/>
      <c r="F149" s="37"/>
      <c r="G149" s="36"/>
      <c r="H149" s="76">
        <f>SUM(H150:H154)</f>
        <v>77000</v>
      </c>
      <c r="I149" s="39"/>
      <c r="J149" s="38"/>
      <c r="K149" s="39"/>
      <c r="L149" s="38"/>
      <c r="M149" s="36"/>
    </row>
    <row r="150" spans="1:13" ht="38.25" x14ac:dyDescent="0.2">
      <c r="A150" s="10" t="s">
        <v>321</v>
      </c>
      <c r="B150" s="63" t="s">
        <v>122</v>
      </c>
      <c r="C150" s="44" t="s">
        <v>214</v>
      </c>
      <c r="D150" s="45" t="s">
        <v>534</v>
      </c>
      <c r="E150" s="163"/>
      <c r="F150" s="163" t="s">
        <v>607</v>
      </c>
      <c r="G150" s="4"/>
      <c r="H150" s="73">
        <f>8000+3000+50000+6000</f>
        <v>67000</v>
      </c>
      <c r="I150" s="14"/>
      <c r="J150" s="28"/>
      <c r="K150" s="14"/>
      <c r="L150" s="28"/>
      <c r="M150" s="4"/>
    </row>
    <row r="151" spans="1:13" s="3" customFormat="1" ht="56.25" customHeight="1" x14ac:dyDescent="0.2">
      <c r="A151" s="64" t="s">
        <v>322</v>
      </c>
      <c r="B151" s="63" t="s">
        <v>323</v>
      </c>
      <c r="C151" s="25"/>
      <c r="D151" s="50"/>
      <c r="E151" s="37"/>
      <c r="F151" s="37"/>
      <c r="G151" s="36"/>
      <c r="H151" s="73">
        <v>0</v>
      </c>
      <c r="I151" s="39"/>
      <c r="J151" s="38"/>
      <c r="K151" s="39"/>
      <c r="L151" s="38"/>
      <c r="M151" s="36"/>
    </row>
    <row r="152" spans="1:13" x14ac:dyDescent="0.2">
      <c r="A152" s="64" t="s">
        <v>324</v>
      </c>
      <c r="B152" s="63" t="s">
        <v>23</v>
      </c>
      <c r="C152" s="44"/>
      <c r="D152" s="45"/>
      <c r="E152" s="163"/>
      <c r="F152" s="163"/>
      <c r="G152" s="4"/>
      <c r="H152" s="73">
        <v>0</v>
      </c>
      <c r="I152" s="14"/>
      <c r="J152" s="28"/>
      <c r="K152" s="14"/>
      <c r="L152" s="28"/>
      <c r="M152" s="4"/>
    </row>
    <row r="153" spans="1:13" x14ac:dyDescent="0.2">
      <c r="A153" s="10" t="s">
        <v>325</v>
      </c>
      <c r="B153" s="63" t="s">
        <v>221</v>
      </c>
      <c r="C153" s="163"/>
      <c r="D153" s="44"/>
      <c r="E153" s="163"/>
      <c r="F153" s="29"/>
      <c r="G153" s="4"/>
      <c r="H153" s="73">
        <v>0</v>
      </c>
      <c r="I153" s="14"/>
      <c r="J153" s="28"/>
      <c r="K153" s="14"/>
      <c r="L153" s="28"/>
      <c r="M153" s="4"/>
    </row>
    <row r="154" spans="1:13" ht="25.5" x14ac:dyDescent="0.2">
      <c r="A154" s="10" t="s">
        <v>326</v>
      </c>
      <c r="B154" s="63" t="s">
        <v>216</v>
      </c>
      <c r="C154" s="163" t="s">
        <v>214</v>
      </c>
      <c r="D154" s="45" t="s">
        <v>534</v>
      </c>
      <c r="E154" s="163"/>
      <c r="F154" s="163" t="s">
        <v>607</v>
      </c>
      <c r="G154" s="4"/>
      <c r="H154" s="73">
        <f>5000*2</f>
        <v>10000</v>
      </c>
      <c r="I154" s="14"/>
      <c r="J154" s="28"/>
      <c r="K154" s="14"/>
      <c r="L154" s="28"/>
      <c r="M154" s="4"/>
    </row>
    <row r="155" spans="1:13" ht="49.5" customHeight="1" x14ac:dyDescent="0.2">
      <c r="A155" s="7">
        <v>49</v>
      </c>
      <c r="B155" s="62" t="s">
        <v>130</v>
      </c>
      <c r="C155" s="163" t="s">
        <v>214</v>
      </c>
      <c r="D155" s="45"/>
      <c r="E155" s="163"/>
      <c r="F155" s="163"/>
      <c r="G155" s="4"/>
      <c r="H155" s="76">
        <f>H156</f>
        <v>18000</v>
      </c>
      <c r="I155" s="14"/>
      <c r="J155" s="28"/>
      <c r="K155" s="14"/>
      <c r="L155" s="28"/>
      <c r="M155" s="4"/>
    </row>
    <row r="156" spans="1:13" ht="33.75" x14ac:dyDescent="0.2">
      <c r="A156" s="10" t="s">
        <v>152</v>
      </c>
      <c r="B156" s="63" t="s">
        <v>15</v>
      </c>
      <c r="C156" s="163" t="s">
        <v>513</v>
      </c>
      <c r="D156" s="45" t="s">
        <v>215</v>
      </c>
      <c r="E156" s="163" t="s">
        <v>517</v>
      </c>
      <c r="F156" s="29" t="s">
        <v>605</v>
      </c>
      <c r="G156" s="41"/>
      <c r="H156" s="73">
        <f>10*1800</f>
        <v>18000</v>
      </c>
      <c r="I156" s="155"/>
      <c r="J156" s="166">
        <f>10*1566.83</f>
        <v>15668.3</v>
      </c>
      <c r="K156" s="155"/>
      <c r="L156" s="166"/>
      <c r="M156" s="41"/>
    </row>
    <row r="157" spans="1:13" ht="89.25" x14ac:dyDescent="0.2">
      <c r="A157" s="52" t="s">
        <v>153</v>
      </c>
      <c r="B157" s="62" t="s">
        <v>327</v>
      </c>
      <c r="C157" s="44"/>
      <c r="D157" s="45"/>
      <c r="E157" s="163"/>
      <c r="F157" s="163"/>
      <c r="G157" s="4"/>
      <c r="H157" s="72">
        <f>H158</f>
        <v>5100</v>
      </c>
      <c r="I157" s="14"/>
      <c r="J157" s="28"/>
      <c r="K157" s="14"/>
      <c r="L157" s="28"/>
      <c r="M157" s="4"/>
    </row>
    <row r="158" spans="1:13" s="3" customFormat="1" ht="33.75" x14ac:dyDescent="0.2">
      <c r="A158" s="10" t="s">
        <v>328</v>
      </c>
      <c r="B158" s="63" t="s">
        <v>15</v>
      </c>
      <c r="C158" s="163" t="s">
        <v>513</v>
      </c>
      <c r="D158" s="45" t="s">
        <v>215</v>
      </c>
      <c r="E158" s="163" t="s">
        <v>517</v>
      </c>
      <c r="F158" s="29" t="s">
        <v>605</v>
      </c>
      <c r="G158" s="41"/>
      <c r="H158" s="73">
        <f>6*850</f>
        <v>5100</v>
      </c>
      <c r="I158" s="155"/>
      <c r="J158" s="166">
        <f>4*763.67</f>
        <v>3054.68</v>
      </c>
      <c r="K158" s="155"/>
      <c r="L158" s="166"/>
      <c r="M158" s="41"/>
    </row>
    <row r="159" spans="1:13" ht="25.5" x14ac:dyDescent="0.2">
      <c r="A159" s="7">
        <v>52</v>
      </c>
      <c r="B159" s="62" t="s">
        <v>150</v>
      </c>
      <c r="C159" s="44"/>
      <c r="D159" s="45"/>
      <c r="E159" s="163"/>
      <c r="F159" s="163"/>
      <c r="G159" s="4"/>
      <c r="H159" s="76">
        <f>SUM(H160:H165)</f>
        <v>48450</v>
      </c>
      <c r="I159" s="14"/>
      <c r="J159" s="28"/>
      <c r="K159" s="14"/>
      <c r="L159" s="28"/>
      <c r="M159" s="4"/>
    </row>
    <row r="160" spans="1:13" s="3" customFormat="1" ht="33.75" x14ac:dyDescent="0.2">
      <c r="A160" s="10" t="s">
        <v>329</v>
      </c>
      <c r="B160" s="63" t="s">
        <v>13</v>
      </c>
      <c r="C160" s="163" t="s">
        <v>511</v>
      </c>
      <c r="D160" s="44" t="s">
        <v>510</v>
      </c>
      <c r="E160" s="163" t="s">
        <v>515</v>
      </c>
      <c r="F160" s="163" t="s">
        <v>603</v>
      </c>
      <c r="G160" s="36"/>
      <c r="H160" s="73">
        <f>(70*150)+(25*150)</f>
        <v>14250</v>
      </c>
      <c r="I160" s="39"/>
      <c r="J160" s="166">
        <v>11587.5</v>
      </c>
      <c r="K160" s="155"/>
      <c r="L160" s="166">
        <f>J160</f>
        <v>11587.5</v>
      </c>
      <c r="M160" s="41"/>
    </row>
    <row r="161" spans="1:13" ht="33.75" x14ac:dyDescent="0.2">
      <c r="A161" s="10" t="s">
        <v>330</v>
      </c>
      <c r="B161" s="63" t="s">
        <v>231</v>
      </c>
      <c r="C161" s="163" t="s">
        <v>512</v>
      </c>
      <c r="D161" s="45" t="s">
        <v>510</v>
      </c>
      <c r="E161" s="163" t="s">
        <v>573</v>
      </c>
      <c r="F161" s="163" t="s">
        <v>610</v>
      </c>
      <c r="G161" s="4"/>
      <c r="H161" s="73">
        <f>10*30</f>
        <v>300</v>
      </c>
      <c r="I161" s="14"/>
      <c r="J161" s="28">
        <v>67.8</v>
      </c>
      <c r="K161" s="14"/>
      <c r="L161" s="28">
        <v>67.8</v>
      </c>
      <c r="M161" s="4"/>
    </row>
    <row r="162" spans="1:13" ht="33.75" x14ac:dyDescent="0.2">
      <c r="A162" s="10" t="s">
        <v>331</v>
      </c>
      <c r="B162" s="63" t="s">
        <v>231</v>
      </c>
      <c r="C162" s="163" t="s">
        <v>512</v>
      </c>
      <c r="D162" s="45" t="s">
        <v>510</v>
      </c>
      <c r="E162" s="163" t="s">
        <v>573</v>
      </c>
      <c r="F162" s="163" t="s">
        <v>610</v>
      </c>
      <c r="G162" s="4"/>
      <c r="H162" s="73">
        <f>10*30</f>
        <v>300</v>
      </c>
      <c r="I162" s="14"/>
      <c r="J162" s="28">
        <v>67.8</v>
      </c>
      <c r="K162" s="14"/>
      <c r="L162" s="28">
        <v>67.8</v>
      </c>
      <c r="M162" s="4"/>
    </row>
    <row r="163" spans="1:13" s="3" customFormat="1" ht="22.5" x14ac:dyDescent="0.2">
      <c r="A163" s="10" t="s">
        <v>332</v>
      </c>
      <c r="B163" s="63" t="s">
        <v>224</v>
      </c>
      <c r="C163" s="44" t="s">
        <v>214</v>
      </c>
      <c r="D163" s="45" t="s">
        <v>534</v>
      </c>
      <c r="E163" s="37"/>
      <c r="F163" s="163" t="s">
        <v>607</v>
      </c>
      <c r="G163" s="36"/>
      <c r="H163" s="73">
        <f>3*6000</f>
        <v>18000</v>
      </c>
      <c r="I163" s="39"/>
      <c r="J163" s="38"/>
      <c r="K163" s="39"/>
      <c r="L163" s="38"/>
      <c r="M163" s="36"/>
    </row>
    <row r="164" spans="1:13" ht="33.75" x14ac:dyDescent="0.2">
      <c r="A164" s="10" t="s">
        <v>333</v>
      </c>
      <c r="B164" s="63" t="s">
        <v>15</v>
      </c>
      <c r="C164" s="163" t="s">
        <v>513</v>
      </c>
      <c r="D164" s="45" t="s">
        <v>215</v>
      </c>
      <c r="E164" s="163" t="s">
        <v>517</v>
      </c>
      <c r="F164" s="29" t="s">
        <v>605</v>
      </c>
      <c r="G164" s="41"/>
      <c r="H164" s="73">
        <f>4*1400</f>
        <v>5600</v>
      </c>
      <c r="I164" s="155"/>
      <c r="J164" s="166">
        <f>4*1092.83</f>
        <v>4371.32</v>
      </c>
      <c r="K164" s="155"/>
      <c r="L164" s="166"/>
      <c r="M164" s="41"/>
    </row>
    <row r="165" spans="1:13" s="3" customFormat="1" ht="25.5" x14ac:dyDescent="0.2">
      <c r="A165" s="10" t="s">
        <v>334</v>
      </c>
      <c r="B165" s="63" t="s">
        <v>216</v>
      </c>
      <c r="C165" s="163" t="s">
        <v>214</v>
      </c>
      <c r="D165" s="45" t="s">
        <v>534</v>
      </c>
      <c r="E165" s="29"/>
      <c r="F165" s="163" t="s">
        <v>607</v>
      </c>
      <c r="G165" s="41"/>
      <c r="H165" s="73">
        <f>5000*2</f>
        <v>10000</v>
      </c>
      <c r="I165" s="155"/>
      <c r="J165" s="166"/>
      <c r="K165" s="155"/>
      <c r="L165" s="166"/>
      <c r="M165" s="41"/>
    </row>
    <row r="166" spans="1:13" ht="63.75" x14ac:dyDescent="0.2">
      <c r="A166" s="52" t="s">
        <v>335</v>
      </c>
      <c r="B166" s="62" t="s">
        <v>292</v>
      </c>
      <c r="C166" s="44"/>
      <c r="D166" s="45"/>
      <c r="E166" s="163"/>
      <c r="F166" s="163"/>
      <c r="G166" s="4"/>
      <c r="H166" s="72">
        <f>H167</f>
        <v>36000</v>
      </c>
      <c r="I166" s="14"/>
      <c r="J166" s="28"/>
      <c r="K166" s="14"/>
      <c r="L166" s="28"/>
      <c r="M166" s="4"/>
    </row>
    <row r="167" spans="1:13" s="3" customFormat="1" ht="33.75" x14ac:dyDescent="0.2">
      <c r="A167" s="10" t="s">
        <v>336</v>
      </c>
      <c r="B167" s="63" t="s">
        <v>15</v>
      </c>
      <c r="C167" s="163" t="s">
        <v>513</v>
      </c>
      <c r="D167" s="45" t="s">
        <v>215</v>
      </c>
      <c r="E167" s="163" t="s">
        <v>517</v>
      </c>
      <c r="F167" s="29" t="s">
        <v>605</v>
      </c>
      <c r="G167" s="41"/>
      <c r="H167" s="73">
        <f>(10*1800)*2</f>
        <v>36000</v>
      </c>
      <c r="I167" s="155"/>
      <c r="J167" s="166">
        <f>(10*1566.83)*2</f>
        <v>31336.6</v>
      </c>
      <c r="K167" s="155"/>
      <c r="L167" s="166"/>
      <c r="M167" s="41"/>
    </row>
    <row r="168" spans="1:13" s="3" customFormat="1" ht="38.25" x14ac:dyDescent="0.2">
      <c r="A168" s="7">
        <v>54</v>
      </c>
      <c r="B168" s="62" t="s">
        <v>262</v>
      </c>
      <c r="C168" s="44"/>
      <c r="D168" s="45"/>
      <c r="E168" s="163"/>
      <c r="F168" s="163"/>
      <c r="G168" s="4"/>
      <c r="H168" s="76">
        <f>H169</f>
        <v>18000</v>
      </c>
      <c r="I168" s="14"/>
      <c r="J168" s="28"/>
      <c r="K168" s="14"/>
      <c r="L168" s="28"/>
      <c r="M168" s="4"/>
    </row>
    <row r="169" spans="1:13" ht="33.75" x14ac:dyDescent="0.2">
      <c r="A169" s="10" t="s">
        <v>337</v>
      </c>
      <c r="B169" s="63" t="s">
        <v>15</v>
      </c>
      <c r="C169" s="163" t="s">
        <v>513</v>
      </c>
      <c r="D169" s="45" t="s">
        <v>215</v>
      </c>
      <c r="E169" s="163" t="s">
        <v>517</v>
      </c>
      <c r="F169" s="29" t="s">
        <v>605</v>
      </c>
      <c r="G169" s="69"/>
      <c r="H169" s="73">
        <f>10*1800</f>
        <v>18000</v>
      </c>
      <c r="I169" s="70"/>
      <c r="J169" s="166">
        <v>15523.32</v>
      </c>
      <c r="K169" s="70"/>
      <c r="L169" s="188"/>
      <c r="M169" s="69"/>
    </row>
    <row r="170" spans="1:13" s="3" customFormat="1" ht="89.25" x14ac:dyDescent="0.2">
      <c r="A170" s="7">
        <v>55</v>
      </c>
      <c r="B170" s="62" t="s">
        <v>338</v>
      </c>
      <c r="C170" s="25"/>
      <c r="D170" s="50"/>
      <c r="E170" s="163"/>
      <c r="F170" s="37"/>
      <c r="G170" s="36"/>
      <c r="H170" s="76">
        <f>H171</f>
        <v>244800</v>
      </c>
      <c r="I170" s="39"/>
      <c r="J170" s="38"/>
      <c r="K170" s="39"/>
      <c r="L170" s="38"/>
      <c r="M170" s="36"/>
    </row>
    <row r="171" spans="1:13" ht="33.75" x14ac:dyDescent="0.2">
      <c r="A171" s="10" t="s">
        <v>339</v>
      </c>
      <c r="B171" s="63" t="s">
        <v>15</v>
      </c>
      <c r="C171" s="163" t="s">
        <v>513</v>
      </c>
      <c r="D171" s="45" t="s">
        <v>215</v>
      </c>
      <c r="E171" s="163" t="s">
        <v>517</v>
      </c>
      <c r="F171" s="29" t="s">
        <v>605</v>
      </c>
      <c r="G171" s="41"/>
      <c r="H171" s="73">
        <f>4*6*12*850</f>
        <v>244800</v>
      </c>
      <c r="I171" s="155"/>
      <c r="J171" s="166">
        <f>306*763.67</f>
        <v>233683.02</v>
      </c>
      <c r="K171" s="155"/>
      <c r="L171" s="166">
        <f>73048.72+(7*1264)+(10*1264)+(7*763.67)+(8*1264)</f>
        <v>109994.41</v>
      </c>
      <c r="M171" s="41"/>
    </row>
    <row r="172" spans="1:13" s="3" customFormat="1" ht="38.25" x14ac:dyDescent="0.2">
      <c r="A172" s="7">
        <v>56</v>
      </c>
      <c r="B172" s="62" t="s">
        <v>130</v>
      </c>
      <c r="C172" s="25"/>
      <c r="D172" s="50"/>
      <c r="E172" s="37"/>
      <c r="F172" s="37"/>
      <c r="G172" s="36"/>
      <c r="H172" s="76">
        <f>H173</f>
        <v>18000</v>
      </c>
      <c r="I172" s="39"/>
      <c r="J172" s="38"/>
      <c r="K172" s="39"/>
      <c r="L172" s="38"/>
      <c r="M172" s="36"/>
    </row>
    <row r="173" spans="1:13" ht="33.75" x14ac:dyDescent="0.2">
      <c r="A173" s="10" t="s">
        <v>156</v>
      </c>
      <c r="B173" s="63" t="s">
        <v>15</v>
      </c>
      <c r="C173" s="163" t="s">
        <v>513</v>
      </c>
      <c r="D173" s="45" t="s">
        <v>215</v>
      </c>
      <c r="E173" s="163" t="s">
        <v>517</v>
      </c>
      <c r="F173" s="29" t="s">
        <v>605</v>
      </c>
      <c r="G173" s="41"/>
      <c r="H173" s="73">
        <v>18000</v>
      </c>
      <c r="I173" s="155"/>
      <c r="J173" s="166">
        <f>10*1566.83</f>
        <v>15668.3</v>
      </c>
      <c r="K173" s="155"/>
      <c r="L173" s="166"/>
      <c r="M173" s="41"/>
    </row>
    <row r="174" spans="1:13" s="3" customFormat="1" ht="63.75" x14ac:dyDescent="0.2">
      <c r="A174" s="52" t="s">
        <v>340</v>
      </c>
      <c r="B174" s="62" t="s">
        <v>341</v>
      </c>
      <c r="C174" s="25"/>
      <c r="D174" s="50"/>
      <c r="E174" s="37"/>
      <c r="F174" s="37"/>
      <c r="G174" s="36"/>
      <c r="H174" s="72">
        <f>H175+H176</f>
        <v>7000</v>
      </c>
      <c r="I174" s="39"/>
      <c r="J174" s="38"/>
      <c r="K174" s="39"/>
      <c r="L174" s="38"/>
      <c r="M174" s="36"/>
    </row>
    <row r="175" spans="1:13" ht="33.75" x14ac:dyDescent="0.2">
      <c r="A175" s="10" t="s">
        <v>342</v>
      </c>
      <c r="B175" s="63" t="s">
        <v>29</v>
      </c>
      <c r="C175" s="163" t="s">
        <v>521</v>
      </c>
      <c r="D175" s="45" t="s">
        <v>510</v>
      </c>
      <c r="E175" s="163" t="s">
        <v>572</v>
      </c>
      <c r="F175" s="163" t="s">
        <v>610</v>
      </c>
      <c r="G175" s="4"/>
      <c r="H175" s="73">
        <f>20*200</f>
        <v>4000</v>
      </c>
      <c r="I175" s="14"/>
      <c r="J175" s="28">
        <f>1669.2+1450.8</f>
        <v>3120</v>
      </c>
      <c r="K175" s="14"/>
      <c r="L175" s="28">
        <f>J175</f>
        <v>3120</v>
      </c>
      <c r="M175" s="4"/>
    </row>
    <row r="176" spans="1:13" ht="25.5" x14ac:dyDescent="0.2">
      <c r="A176" s="10" t="s">
        <v>343</v>
      </c>
      <c r="B176" s="63" t="s">
        <v>344</v>
      </c>
      <c r="C176" s="163" t="s">
        <v>214</v>
      </c>
      <c r="D176" s="45" t="s">
        <v>514</v>
      </c>
      <c r="E176" s="29"/>
      <c r="F176" s="163" t="s">
        <v>610</v>
      </c>
      <c r="G176" s="4"/>
      <c r="H176" s="73">
        <f>50*60</f>
        <v>3000</v>
      </c>
      <c r="I176" s="14"/>
      <c r="J176" s="28"/>
      <c r="K176" s="14"/>
      <c r="L176" s="28"/>
      <c r="M176" s="4"/>
    </row>
    <row r="177" spans="1:13" ht="25.5" x14ac:dyDescent="0.2">
      <c r="A177" s="7">
        <v>58</v>
      </c>
      <c r="B177" s="62" t="s">
        <v>345</v>
      </c>
      <c r="C177" s="163"/>
      <c r="D177" s="45"/>
      <c r="E177" s="29"/>
      <c r="F177" s="29"/>
      <c r="G177" s="4"/>
      <c r="H177" s="76">
        <f>SUM(H178:H180)</f>
        <v>124200</v>
      </c>
      <c r="I177" s="14"/>
      <c r="J177" s="28"/>
      <c r="K177" s="14"/>
      <c r="L177" s="28"/>
      <c r="M177" s="4"/>
    </row>
    <row r="178" spans="1:13" s="2" customFormat="1" ht="33.75" x14ac:dyDescent="0.2">
      <c r="A178" s="64" t="s">
        <v>346</v>
      </c>
      <c r="B178" s="63" t="s">
        <v>231</v>
      </c>
      <c r="C178" s="163" t="s">
        <v>512</v>
      </c>
      <c r="D178" s="45" t="s">
        <v>510</v>
      </c>
      <c r="E178" s="163" t="s">
        <v>573</v>
      </c>
      <c r="F178" s="163" t="s">
        <v>610</v>
      </c>
      <c r="G178" s="41"/>
      <c r="H178" s="73">
        <v>600</v>
      </c>
      <c r="I178" s="155"/>
      <c r="J178" s="166">
        <v>67.8</v>
      </c>
      <c r="K178" s="155"/>
      <c r="L178" s="166">
        <v>67.8</v>
      </c>
      <c r="M178" s="41"/>
    </row>
    <row r="179" spans="1:13" ht="22.5" x14ac:dyDescent="0.2">
      <c r="A179" s="64" t="s">
        <v>347</v>
      </c>
      <c r="B179" s="63" t="s">
        <v>49</v>
      </c>
      <c r="C179" s="44" t="s">
        <v>214</v>
      </c>
      <c r="D179" s="45" t="s">
        <v>530</v>
      </c>
      <c r="E179" s="163"/>
      <c r="F179" s="163" t="s">
        <v>610</v>
      </c>
      <c r="G179" s="4"/>
      <c r="H179" s="73">
        <f>57*2000</f>
        <v>114000</v>
      </c>
      <c r="I179" s="14"/>
      <c r="J179" s="28"/>
      <c r="K179" s="14"/>
      <c r="L179" s="28"/>
      <c r="M179" s="4"/>
    </row>
    <row r="180" spans="1:13" ht="33.75" x14ac:dyDescent="0.2">
      <c r="A180" s="64" t="s">
        <v>348</v>
      </c>
      <c r="B180" s="63" t="s">
        <v>15</v>
      </c>
      <c r="C180" s="163" t="s">
        <v>513</v>
      </c>
      <c r="D180" s="45" t="s">
        <v>215</v>
      </c>
      <c r="E180" s="163" t="s">
        <v>517</v>
      </c>
      <c r="F180" s="29" t="s">
        <v>605</v>
      </c>
      <c r="G180" s="41"/>
      <c r="H180" s="74">
        <f>6*1600</f>
        <v>9600</v>
      </c>
      <c r="I180" s="155"/>
      <c r="J180" s="166">
        <f>6*1264</f>
        <v>7584</v>
      </c>
      <c r="K180" s="155"/>
      <c r="L180" s="166"/>
      <c r="M180" s="41"/>
    </row>
    <row r="181" spans="1:13" ht="51" x14ac:dyDescent="0.2">
      <c r="A181" s="7">
        <v>59</v>
      </c>
      <c r="B181" s="62" t="s">
        <v>349</v>
      </c>
      <c r="C181" s="163"/>
      <c r="D181" s="45"/>
      <c r="E181" s="29"/>
      <c r="F181" s="29"/>
      <c r="G181" s="4"/>
      <c r="H181" s="72">
        <f>H182</f>
        <v>18000</v>
      </c>
      <c r="I181" s="14"/>
      <c r="J181" s="28"/>
      <c r="K181" s="14"/>
      <c r="L181" s="28"/>
      <c r="M181" s="4"/>
    </row>
    <row r="182" spans="1:13" ht="33.75" x14ac:dyDescent="0.2">
      <c r="A182" s="10" t="s">
        <v>350</v>
      </c>
      <c r="B182" s="63" t="s">
        <v>15</v>
      </c>
      <c r="C182" s="163" t="s">
        <v>513</v>
      </c>
      <c r="D182" s="45" t="s">
        <v>215</v>
      </c>
      <c r="E182" s="163" t="s">
        <v>517</v>
      </c>
      <c r="F182" s="29" t="s">
        <v>605</v>
      </c>
      <c r="G182" s="41"/>
      <c r="H182" s="73">
        <v>18000</v>
      </c>
      <c r="I182" s="155"/>
      <c r="J182" s="166">
        <f>10*1566.83</f>
        <v>15668.3</v>
      </c>
      <c r="K182" s="155"/>
      <c r="L182" s="166"/>
      <c r="M182" s="41"/>
    </row>
    <row r="183" spans="1:13" ht="25.5" x14ac:dyDescent="0.2">
      <c r="A183" s="7">
        <v>60</v>
      </c>
      <c r="B183" s="62" t="s">
        <v>351</v>
      </c>
      <c r="C183" s="163"/>
      <c r="D183" s="45"/>
      <c r="E183" s="29"/>
      <c r="F183" s="29"/>
      <c r="G183" s="4"/>
      <c r="H183" s="76">
        <f>H184+H185+H186+H187+H188</f>
        <v>53375</v>
      </c>
      <c r="I183" s="14"/>
      <c r="J183" s="28"/>
      <c r="K183" s="14"/>
      <c r="L183" s="28"/>
      <c r="M183" s="4"/>
    </row>
    <row r="184" spans="1:13" ht="33.75" x14ac:dyDescent="0.2">
      <c r="A184" s="10" t="s">
        <v>352</v>
      </c>
      <c r="B184" s="63" t="s">
        <v>221</v>
      </c>
      <c r="C184" s="163" t="s">
        <v>214</v>
      </c>
      <c r="D184" s="44" t="s">
        <v>215</v>
      </c>
      <c r="E184" s="163" t="s">
        <v>382</v>
      </c>
      <c r="F184" s="163" t="s">
        <v>610</v>
      </c>
      <c r="G184" s="4"/>
      <c r="H184" s="73">
        <f>(60*50)+ 3000</f>
        <v>6000</v>
      </c>
      <c r="I184" s="14"/>
      <c r="J184" s="28">
        <v>6000</v>
      </c>
      <c r="K184" s="14"/>
      <c r="L184" s="28"/>
      <c r="M184" s="4"/>
    </row>
    <row r="185" spans="1:13" ht="33.75" x14ac:dyDescent="0.2">
      <c r="A185" s="10" t="s">
        <v>353</v>
      </c>
      <c r="B185" s="63" t="s">
        <v>15</v>
      </c>
      <c r="C185" s="163" t="s">
        <v>513</v>
      </c>
      <c r="D185" s="45" t="s">
        <v>215</v>
      </c>
      <c r="E185" s="163" t="s">
        <v>517</v>
      </c>
      <c r="F185" s="29" t="s">
        <v>605</v>
      </c>
      <c r="G185" s="41"/>
      <c r="H185" s="73">
        <f>10*1800</f>
        <v>18000</v>
      </c>
      <c r="I185" s="155"/>
      <c r="J185" s="166">
        <f>10*1566.83</f>
        <v>15668.3</v>
      </c>
      <c r="K185" s="155"/>
      <c r="L185" s="166"/>
      <c r="M185" s="41"/>
    </row>
    <row r="186" spans="1:13" s="3" customFormat="1" ht="33.75" x14ac:dyDescent="0.2">
      <c r="A186" s="10" t="s">
        <v>354</v>
      </c>
      <c r="B186" s="63" t="s">
        <v>13</v>
      </c>
      <c r="C186" s="163" t="s">
        <v>511</v>
      </c>
      <c r="D186" s="44" t="s">
        <v>510</v>
      </c>
      <c r="E186" s="163" t="s">
        <v>515</v>
      </c>
      <c r="F186" s="163" t="s">
        <v>603</v>
      </c>
      <c r="G186" s="36"/>
      <c r="H186" s="73">
        <f>(70*25)+(25*25)</f>
        <v>2375</v>
      </c>
      <c r="I186" s="39"/>
      <c r="J186" s="166">
        <v>1931.25</v>
      </c>
      <c r="K186" s="155"/>
      <c r="L186" s="166">
        <f>J186</f>
        <v>1931.25</v>
      </c>
      <c r="M186" s="41"/>
    </row>
    <row r="187" spans="1:13" ht="22.5" x14ac:dyDescent="0.2">
      <c r="A187" s="10" t="s">
        <v>355</v>
      </c>
      <c r="B187" s="63" t="s">
        <v>46</v>
      </c>
      <c r="C187" s="44" t="s">
        <v>214</v>
      </c>
      <c r="D187" s="45" t="s">
        <v>535</v>
      </c>
      <c r="E187" s="163"/>
      <c r="F187" s="163" t="s">
        <v>607</v>
      </c>
      <c r="G187" s="4"/>
      <c r="H187" s="73">
        <f>60*300</f>
        <v>18000</v>
      </c>
      <c r="I187" s="14"/>
      <c r="J187" s="28"/>
      <c r="K187" s="14"/>
      <c r="L187" s="28"/>
      <c r="M187" s="4"/>
    </row>
    <row r="188" spans="1:13" s="3" customFormat="1" ht="45" x14ac:dyDescent="0.2">
      <c r="A188" s="10" t="s">
        <v>356</v>
      </c>
      <c r="B188" s="63" t="s">
        <v>45</v>
      </c>
      <c r="C188" s="44" t="s">
        <v>214</v>
      </c>
      <c r="D188" s="45" t="s">
        <v>215</v>
      </c>
      <c r="E188" s="163" t="s">
        <v>529</v>
      </c>
      <c r="F188" s="163" t="s">
        <v>607</v>
      </c>
      <c r="G188" s="41"/>
      <c r="H188" s="73">
        <f>6*1500</f>
        <v>9000</v>
      </c>
      <c r="I188" s="155"/>
      <c r="J188" s="166">
        <v>7920</v>
      </c>
      <c r="K188" s="155"/>
      <c r="L188" s="166"/>
      <c r="M188" s="41"/>
    </row>
    <row r="189" spans="1:13" ht="25.5" x14ac:dyDescent="0.2">
      <c r="A189" s="7">
        <v>61</v>
      </c>
      <c r="B189" s="62" t="s">
        <v>154</v>
      </c>
      <c r="C189" s="163"/>
      <c r="D189" s="45"/>
      <c r="E189" s="163"/>
      <c r="F189" s="163"/>
      <c r="G189" s="4"/>
      <c r="H189" s="76">
        <f>H190+H191</f>
        <v>37500</v>
      </c>
      <c r="I189" s="14"/>
      <c r="J189" s="28"/>
      <c r="K189" s="14"/>
      <c r="L189" s="28"/>
      <c r="M189" s="4"/>
    </row>
    <row r="190" spans="1:13" ht="22.5" x14ac:dyDescent="0.2">
      <c r="A190" s="10" t="s">
        <v>357</v>
      </c>
      <c r="B190" s="63" t="s">
        <v>224</v>
      </c>
      <c r="C190" s="44" t="s">
        <v>214</v>
      </c>
      <c r="D190" s="45" t="s">
        <v>535</v>
      </c>
      <c r="E190" s="163"/>
      <c r="F190" s="163" t="s">
        <v>607</v>
      </c>
      <c r="G190" s="4"/>
      <c r="H190" s="73">
        <v>6000</v>
      </c>
      <c r="I190" s="14"/>
      <c r="J190" s="28"/>
      <c r="K190" s="14"/>
      <c r="L190" s="28"/>
      <c r="M190" s="4"/>
    </row>
    <row r="191" spans="1:13" ht="25.5" x14ac:dyDescent="0.2">
      <c r="A191" s="10" t="s">
        <v>358</v>
      </c>
      <c r="B191" s="63" t="s">
        <v>344</v>
      </c>
      <c r="C191" s="163" t="s">
        <v>214</v>
      </c>
      <c r="D191" s="45" t="s">
        <v>535</v>
      </c>
      <c r="E191" s="29"/>
      <c r="F191" s="163" t="s">
        <v>610</v>
      </c>
      <c r="G191" s="4"/>
      <c r="H191" s="73">
        <f>70*450</f>
        <v>31500</v>
      </c>
      <c r="I191" s="14"/>
      <c r="J191" s="28"/>
      <c r="K191" s="14"/>
      <c r="L191" s="28"/>
      <c r="M191" s="4"/>
    </row>
    <row r="192" spans="1:13" ht="25.5" x14ac:dyDescent="0.2">
      <c r="A192" s="7">
        <v>62</v>
      </c>
      <c r="B192" s="62" t="s">
        <v>157</v>
      </c>
      <c r="C192" s="163"/>
      <c r="D192" s="45"/>
      <c r="E192" s="163"/>
      <c r="F192" s="163"/>
      <c r="G192" s="4"/>
      <c r="H192" s="76">
        <f>SUM(H193:H199)</f>
        <v>61050</v>
      </c>
      <c r="I192" s="14"/>
      <c r="J192" s="28"/>
      <c r="K192" s="14"/>
      <c r="L192" s="28"/>
      <c r="M192" s="4"/>
    </row>
    <row r="193" spans="1:13" ht="33.75" x14ac:dyDescent="0.2">
      <c r="A193" s="10" t="s">
        <v>359</v>
      </c>
      <c r="B193" s="63" t="s">
        <v>26</v>
      </c>
      <c r="C193" s="163" t="s">
        <v>511</v>
      </c>
      <c r="D193" s="44" t="s">
        <v>510</v>
      </c>
      <c r="E193" s="163" t="s">
        <v>515</v>
      </c>
      <c r="F193" s="163" t="s">
        <v>603</v>
      </c>
      <c r="G193" s="4"/>
      <c r="H193" s="73">
        <v>10000</v>
      </c>
      <c r="I193" s="14"/>
      <c r="J193" s="28">
        <v>7725</v>
      </c>
      <c r="K193" s="14"/>
      <c r="L193" s="28">
        <f>J193</f>
        <v>7725</v>
      </c>
      <c r="M193" s="4"/>
    </row>
    <row r="194" spans="1:13" ht="22.5" x14ac:dyDescent="0.2">
      <c r="A194" s="10" t="s">
        <v>360</v>
      </c>
      <c r="B194" s="63" t="s">
        <v>49</v>
      </c>
      <c r="C194" s="163" t="s">
        <v>214</v>
      </c>
      <c r="D194" s="45" t="s">
        <v>534</v>
      </c>
      <c r="E194" s="163"/>
      <c r="F194" s="163" t="s">
        <v>610</v>
      </c>
      <c r="G194" s="4"/>
      <c r="H194" s="73">
        <f>550*25</f>
        <v>13750</v>
      </c>
      <c r="I194" s="14"/>
      <c r="J194" s="28"/>
      <c r="K194" s="14"/>
      <c r="L194" s="28"/>
      <c r="M194" s="4"/>
    </row>
    <row r="195" spans="1:13" s="2" customFormat="1" ht="33.75" x14ac:dyDescent="0.2">
      <c r="A195" s="10" t="s">
        <v>361</v>
      </c>
      <c r="B195" s="63" t="s">
        <v>221</v>
      </c>
      <c r="C195" s="163" t="s">
        <v>214</v>
      </c>
      <c r="D195" s="44" t="s">
        <v>215</v>
      </c>
      <c r="E195" s="163" t="s">
        <v>382</v>
      </c>
      <c r="F195" s="163" t="s">
        <v>610</v>
      </c>
      <c r="G195" s="41"/>
      <c r="H195" s="73">
        <f>10*1500</f>
        <v>15000</v>
      </c>
      <c r="I195" s="155"/>
      <c r="J195" s="166">
        <v>13500</v>
      </c>
      <c r="K195" s="155"/>
      <c r="L195" s="166"/>
      <c r="M195" s="41"/>
    </row>
    <row r="196" spans="1:13" ht="33.75" x14ac:dyDescent="0.2">
      <c r="A196" s="10" t="s">
        <v>362</v>
      </c>
      <c r="B196" s="63" t="s">
        <v>231</v>
      </c>
      <c r="C196" s="163" t="s">
        <v>512</v>
      </c>
      <c r="D196" s="45" t="s">
        <v>510</v>
      </c>
      <c r="E196" s="163" t="s">
        <v>573</v>
      </c>
      <c r="F196" s="163" t="s">
        <v>610</v>
      </c>
      <c r="G196" s="4"/>
      <c r="H196" s="73">
        <f>10*30</f>
        <v>300</v>
      </c>
      <c r="I196" s="14"/>
      <c r="J196" s="28">
        <v>67.8</v>
      </c>
      <c r="K196" s="14"/>
      <c r="L196" s="28">
        <v>67.8</v>
      </c>
      <c r="M196" s="4"/>
    </row>
    <row r="197" spans="1:13" ht="22.5" x14ac:dyDescent="0.2">
      <c r="A197" s="10" t="s">
        <v>363</v>
      </c>
      <c r="B197" s="63" t="s">
        <v>24</v>
      </c>
      <c r="C197" s="163" t="s">
        <v>214</v>
      </c>
      <c r="D197" s="45" t="s">
        <v>534</v>
      </c>
      <c r="E197" s="29"/>
      <c r="F197" s="163" t="s">
        <v>607</v>
      </c>
      <c r="G197" s="4"/>
      <c r="H197" s="73">
        <v>6000</v>
      </c>
      <c r="I197" s="14"/>
      <c r="J197" s="28"/>
      <c r="K197" s="14"/>
      <c r="L197" s="28"/>
      <c r="M197" s="4"/>
    </row>
    <row r="198" spans="1:13" s="3" customFormat="1" ht="22.5" x14ac:dyDescent="0.2">
      <c r="A198" s="10" t="s">
        <v>364</v>
      </c>
      <c r="B198" s="63" t="s">
        <v>23</v>
      </c>
      <c r="C198" s="163" t="s">
        <v>214</v>
      </c>
      <c r="D198" s="45" t="s">
        <v>534</v>
      </c>
      <c r="E198" s="29"/>
      <c r="F198" s="163" t="s">
        <v>607</v>
      </c>
      <c r="G198" s="41"/>
      <c r="H198" s="73">
        <v>6000</v>
      </c>
      <c r="I198" s="155"/>
      <c r="J198" s="166"/>
      <c r="K198" s="155"/>
      <c r="L198" s="166"/>
      <c r="M198" s="41"/>
    </row>
    <row r="199" spans="1:13" ht="25.5" x14ac:dyDescent="0.2">
      <c r="A199" s="10" t="s">
        <v>365</v>
      </c>
      <c r="B199" s="63" t="s">
        <v>216</v>
      </c>
      <c r="C199" s="44" t="s">
        <v>214</v>
      </c>
      <c r="D199" s="45" t="s">
        <v>534</v>
      </c>
      <c r="E199" s="163"/>
      <c r="F199" s="163" t="s">
        <v>607</v>
      </c>
      <c r="G199" s="4"/>
      <c r="H199" s="73">
        <f>5000*2</f>
        <v>10000</v>
      </c>
      <c r="I199" s="14"/>
      <c r="J199" s="28"/>
      <c r="K199" s="14"/>
      <c r="L199" s="28"/>
      <c r="M199" s="4"/>
    </row>
    <row r="200" spans="1:13" s="3" customFormat="1" ht="25.5" x14ac:dyDescent="0.2">
      <c r="A200" s="7">
        <v>63</v>
      </c>
      <c r="B200" s="62" t="s">
        <v>155</v>
      </c>
      <c r="C200" s="25"/>
      <c r="D200" s="50"/>
      <c r="E200" s="37"/>
      <c r="F200" s="37"/>
      <c r="G200" s="36"/>
      <c r="H200" s="76">
        <f>H201</f>
        <v>250000</v>
      </c>
      <c r="I200" s="39"/>
      <c r="J200" s="38"/>
      <c r="K200" s="39"/>
      <c r="L200" s="38"/>
      <c r="M200" s="36"/>
    </row>
    <row r="201" spans="1:13" x14ac:dyDescent="0.2">
      <c r="A201" s="10" t="s">
        <v>366</v>
      </c>
      <c r="B201" s="63" t="s">
        <v>17</v>
      </c>
      <c r="C201" s="44"/>
      <c r="D201" s="45"/>
      <c r="E201" s="163"/>
      <c r="F201" s="163" t="s">
        <v>603</v>
      </c>
      <c r="G201" s="4"/>
      <c r="H201" s="73">
        <f>500*500</f>
        <v>250000</v>
      </c>
      <c r="I201" s="14"/>
      <c r="J201" s="28"/>
      <c r="K201" s="14"/>
      <c r="L201" s="28"/>
      <c r="M201" s="4"/>
    </row>
    <row r="202" spans="1:13" ht="25.5" x14ac:dyDescent="0.2">
      <c r="A202" s="7" t="s">
        <v>367</v>
      </c>
      <c r="B202" s="62" t="s">
        <v>368</v>
      </c>
      <c r="C202" s="163"/>
      <c r="D202" s="45"/>
      <c r="E202" s="29"/>
      <c r="F202" s="29"/>
      <c r="G202" s="4"/>
      <c r="H202" s="76">
        <f>H203+H204</f>
        <v>138600</v>
      </c>
      <c r="I202" s="14"/>
      <c r="J202" s="28"/>
      <c r="K202" s="14"/>
      <c r="L202" s="28"/>
      <c r="M202" s="4"/>
    </row>
    <row r="203" spans="1:13" ht="90" x14ac:dyDescent="0.2">
      <c r="A203" s="10" t="s">
        <v>369</v>
      </c>
      <c r="B203" s="63" t="s">
        <v>49</v>
      </c>
      <c r="C203" s="163" t="s">
        <v>536</v>
      </c>
      <c r="D203" s="45" t="s">
        <v>215</v>
      </c>
      <c r="E203" s="163" t="s">
        <v>555</v>
      </c>
      <c r="F203" s="163" t="s">
        <v>610</v>
      </c>
      <c r="G203" s="162"/>
      <c r="H203" s="73">
        <f>203*600</f>
        <v>121800</v>
      </c>
      <c r="I203" s="162"/>
      <c r="J203" s="22">
        <f>38581.42+8187</f>
        <v>46768.42</v>
      </c>
      <c r="K203" s="14"/>
      <c r="L203" s="28">
        <f>J203</f>
        <v>46768.42</v>
      </c>
      <c r="M203" s="4"/>
    </row>
    <row r="204" spans="1:13" ht="45" x14ac:dyDescent="0.2">
      <c r="A204" s="10" t="s">
        <v>370</v>
      </c>
      <c r="B204" s="63" t="s">
        <v>231</v>
      </c>
      <c r="C204" s="163" t="s">
        <v>512</v>
      </c>
      <c r="D204" s="45" t="s">
        <v>510</v>
      </c>
      <c r="E204" s="163" t="s">
        <v>554</v>
      </c>
      <c r="F204" s="163" t="s">
        <v>610</v>
      </c>
      <c r="G204" s="4"/>
      <c r="H204" s="73">
        <f>210*80</f>
        <v>16800</v>
      </c>
      <c r="I204" s="14"/>
      <c r="J204" s="28">
        <v>16764.2</v>
      </c>
      <c r="K204" s="14"/>
      <c r="L204" s="28">
        <f>J204</f>
        <v>16764.2</v>
      </c>
      <c r="M204" s="4"/>
    </row>
    <row r="205" spans="1:13" ht="38.25" x14ac:dyDescent="0.2">
      <c r="A205" s="7">
        <v>65</v>
      </c>
      <c r="B205" s="62" t="s">
        <v>130</v>
      </c>
      <c r="C205" s="163"/>
      <c r="D205" s="45"/>
      <c r="E205" s="163"/>
      <c r="F205" s="163"/>
      <c r="G205" s="4"/>
      <c r="H205" s="72">
        <f>H206</f>
        <v>18000</v>
      </c>
      <c r="I205" s="14"/>
      <c r="J205" s="28"/>
      <c r="K205" s="14"/>
      <c r="L205" s="28"/>
      <c r="M205" s="4"/>
    </row>
    <row r="206" spans="1:13" ht="33.75" x14ac:dyDescent="0.2">
      <c r="A206" s="10" t="s">
        <v>371</v>
      </c>
      <c r="B206" s="63" t="s">
        <v>15</v>
      </c>
      <c r="C206" s="163" t="s">
        <v>513</v>
      </c>
      <c r="D206" s="45" t="s">
        <v>215</v>
      </c>
      <c r="E206" s="163" t="s">
        <v>517</v>
      </c>
      <c r="F206" s="29" t="s">
        <v>605</v>
      </c>
      <c r="G206" s="41"/>
      <c r="H206" s="73">
        <v>18000</v>
      </c>
      <c r="I206" s="155"/>
      <c r="J206" s="166">
        <f>10*1566.83</f>
        <v>15668.3</v>
      </c>
      <c r="K206" s="155"/>
      <c r="L206" s="166"/>
      <c r="M206" s="41"/>
    </row>
    <row r="207" spans="1:13" ht="51" x14ac:dyDescent="0.2">
      <c r="A207" s="52" t="s">
        <v>372</v>
      </c>
      <c r="B207" s="62" t="s">
        <v>373</v>
      </c>
      <c r="C207" s="163"/>
      <c r="D207" s="45"/>
      <c r="E207" s="163"/>
      <c r="F207" s="163"/>
      <c r="G207" s="4"/>
      <c r="H207" s="72">
        <f>H208</f>
        <v>4000</v>
      </c>
      <c r="I207" s="14"/>
      <c r="J207" s="28"/>
      <c r="K207" s="14"/>
      <c r="L207" s="28"/>
      <c r="M207" s="4"/>
    </row>
    <row r="208" spans="1:13" s="3" customFormat="1" ht="67.5" x14ac:dyDescent="0.2">
      <c r="A208" s="59" t="s">
        <v>374</v>
      </c>
      <c r="B208" s="91" t="s">
        <v>29</v>
      </c>
      <c r="C208" s="163" t="s">
        <v>521</v>
      </c>
      <c r="D208" s="45" t="s">
        <v>510</v>
      </c>
      <c r="E208" s="163" t="s">
        <v>571</v>
      </c>
      <c r="F208" s="163" t="s">
        <v>610</v>
      </c>
      <c r="G208" s="41"/>
      <c r="H208" s="77">
        <f>20*200</f>
        <v>4000</v>
      </c>
      <c r="I208" s="155"/>
      <c r="J208" s="166">
        <f>(494+2059.2)+(902+225.53)</f>
        <v>3680.7299999999996</v>
      </c>
      <c r="K208" s="155"/>
      <c r="L208" s="166">
        <f>J208</f>
        <v>3680.7299999999996</v>
      </c>
      <c r="M208" s="41"/>
    </row>
    <row r="209" spans="1:15" ht="38.25" x14ac:dyDescent="0.2">
      <c r="A209" s="67" t="s">
        <v>375</v>
      </c>
      <c r="B209" s="68" t="s">
        <v>376</v>
      </c>
      <c r="C209" s="163"/>
      <c r="D209" s="45"/>
      <c r="E209" s="163"/>
      <c r="F209" s="163"/>
      <c r="G209" s="162"/>
      <c r="H209" s="78">
        <f>H210+H211+H212</f>
        <v>205000</v>
      </c>
      <c r="I209" s="162"/>
      <c r="J209" s="22"/>
      <c r="K209" s="14"/>
      <c r="L209" s="28"/>
      <c r="M209" s="4"/>
    </row>
    <row r="210" spans="1:15" ht="33.75" x14ac:dyDescent="0.2">
      <c r="A210" s="59" t="s">
        <v>377</v>
      </c>
      <c r="B210" s="91" t="s">
        <v>252</v>
      </c>
      <c r="C210" s="44" t="s">
        <v>214</v>
      </c>
      <c r="D210" s="45" t="s">
        <v>215</v>
      </c>
      <c r="E210" s="163" t="s">
        <v>537</v>
      </c>
      <c r="F210" s="163" t="s">
        <v>610</v>
      </c>
      <c r="G210" s="4"/>
      <c r="H210" s="77">
        <v>150000</v>
      </c>
      <c r="I210" s="14"/>
      <c r="J210" s="28">
        <v>130290</v>
      </c>
      <c r="K210" s="14"/>
      <c r="L210" s="28">
        <v>130290</v>
      </c>
      <c r="M210" s="4"/>
      <c r="N210" s="42"/>
      <c r="O210" s="2"/>
    </row>
    <row r="211" spans="1:15" ht="33.75" x14ac:dyDescent="0.2">
      <c r="A211" s="59" t="s">
        <v>378</v>
      </c>
      <c r="B211" s="91" t="s">
        <v>11</v>
      </c>
      <c r="C211" s="163" t="s">
        <v>214</v>
      </c>
      <c r="D211" s="44" t="s">
        <v>215</v>
      </c>
      <c r="E211" s="163" t="s">
        <v>382</v>
      </c>
      <c r="F211" s="163" t="s">
        <v>610</v>
      </c>
      <c r="G211" s="4"/>
      <c r="H211" s="77">
        <v>10000</v>
      </c>
      <c r="I211" s="14"/>
      <c r="J211" s="28">
        <v>9450</v>
      </c>
      <c r="K211" s="14"/>
      <c r="L211" s="28">
        <v>9450</v>
      </c>
      <c r="M211" s="4"/>
      <c r="N211" s="42"/>
      <c r="O211" s="2"/>
    </row>
    <row r="212" spans="1:15" s="3" customFormat="1" ht="33.75" x14ac:dyDescent="0.2">
      <c r="A212" s="10" t="s">
        <v>379</v>
      </c>
      <c r="B212" s="63" t="s">
        <v>380</v>
      </c>
      <c r="C212" s="163" t="s">
        <v>214</v>
      </c>
      <c r="D212" s="45" t="s">
        <v>215</v>
      </c>
      <c r="E212" s="163" t="s">
        <v>538</v>
      </c>
      <c r="F212" s="163" t="s">
        <v>607</v>
      </c>
      <c r="G212" s="41"/>
      <c r="H212" s="73">
        <v>45000</v>
      </c>
      <c r="I212" s="155"/>
      <c r="J212" s="166">
        <v>44998.8</v>
      </c>
      <c r="K212" s="155"/>
      <c r="L212" s="166">
        <f>J212</f>
        <v>44998.8</v>
      </c>
      <c r="M212" s="41"/>
    </row>
    <row r="213" spans="1:15" s="3" customFormat="1" ht="25.5" x14ac:dyDescent="0.2">
      <c r="A213" s="52" t="s">
        <v>614</v>
      </c>
      <c r="B213" s="62" t="s">
        <v>615</v>
      </c>
      <c r="C213" s="163"/>
      <c r="D213" s="45"/>
      <c r="E213" s="163"/>
      <c r="F213" s="163" t="s">
        <v>607</v>
      </c>
      <c r="G213" s="162"/>
      <c r="H213" s="72">
        <v>130000</v>
      </c>
      <c r="I213" s="162"/>
      <c r="J213" s="22"/>
      <c r="K213" s="14"/>
      <c r="L213" s="28"/>
      <c r="M213" s="4"/>
    </row>
    <row r="214" spans="1:15" ht="21" customHeight="1" thickBot="1" x14ac:dyDescent="0.25">
      <c r="A214" s="189"/>
      <c r="B214" s="190" t="s">
        <v>8</v>
      </c>
      <c r="C214" s="191"/>
      <c r="D214" s="192"/>
      <c r="E214" s="178"/>
      <c r="F214" s="178"/>
      <c r="G214" s="193"/>
      <c r="H214" s="194">
        <f>H113+H17+H26+H28+H30+H32+H34+H36+H42+H44+H46+H48+H57+H61+H63+H65+H67+H71+H73+H77+H79+H85+H88+H90+H93+H96+H98+H100+H102+H105+H107+H109+H111+H117+H122+H127+H129+H132+H134+H136+H138+H140+H143+H147+H149+H155+H157+H159+H166+H168+H170+H172+H174+H177+H181+H183+H189+H192+H200+H202+H205+H207+H209+H213</f>
        <v>3918230</v>
      </c>
      <c r="I214" s="195"/>
      <c r="J214" s="196">
        <f>SUM(J17:J212)</f>
        <v>1856159.2100000004</v>
      </c>
      <c r="K214" s="195"/>
      <c r="L214" s="197">
        <f>SUM(L17:L212)</f>
        <v>1477869.66</v>
      </c>
      <c r="M214" s="193"/>
    </row>
    <row r="215" spans="1:15" ht="38.25" x14ac:dyDescent="0.2">
      <c r="A215" s="83" t="s">
        <v>35</v>
      </c>
      <c r="B215" s="84" t="s">
        <v>194</v>
      </c>
      <c r="C215" s="56"/>
      <c r="D215" s="60"/>
      <c r="E215" s="56"/>
      <c r="F215" s="56"/>
      <c r="G215" s="32"/>
      <c r="H215" s="87"/>
      <c r="I215" s="61"/>
      <c r="J215" s="57"/>
      <c r="K215" s="61"/>
      <c r="L215" s="57"/>
      <c r="M215" s="32"/>
    </row>
    <row r="216" spans="1:15" s="3" customFormat="1" ht="38.25" x14ac:dyDescent="0.2">
      <c r="A216" s="71">
        <v>10</v>
      </c>
      <c r="B216" s="68" t="s">
        <v>121</v>
      </c>
      <c r="C216" s="25"/>
      <c r="D216" s="50"/>
      <c r="E216" s="37"/>
      <c r="F216" s="37"/>
      <c r="G216" s="36"/>
      <c r="H216" s="72">
        <f>H217+H218</f>
        <v>717077.4</v>
      </c>
      <c r="I216" s="39"/>
      <c r="J216" s="38"/>
      <c r="K216" s="39"/>
      <c r="L216" s="38"/>
      <c r="M216" s="36"/>
    </row>
    <row r="217" spans="1:15" ht="78.75" x14ac:dyDescent="0.2">
      <c r="A217" s="10" t="s">
        <v>104</v>
      </c>
      <c r="B217" s="63" t="s">
        <v>383</v>
      </c>
      <c r="C217" s="44" t="s">
        <v>511</v>
      </c>
      <c r="D217" s="45" t="s">
        <v>215</v>
      </c>
      <c r="E217" s="163" t="s">
        <v>560</v>
      </c>
      <c r="F217" s="163">
        <v>226</v>
      </c>
      <c r="G217" s="4"/>
      <c r="H217" s="73">
        <f>2*325000</f>
        <v>650000</v>
      </c>
      <c r="I217" s="14"/>
      <c r="J217" s="28">
        <v>603000</v>
      </c>
      <c r="K217" s="14"/>
      <c r="L217" s="28">
        <v>603000</v>
      </c>
      <c r="M217" s="4"/>
    </row>
    <row r="218" spans="1:15" s="3" customFormat="1" ht="33.75" x14ac:dyDescent="0.2">
      <c r="A218" s="10" t="s">
        <v>384</v>
      </c>
      <c r="B218" s="63" t="s">
        <v>27</v>
      </c>
      <c r="C218" s="163" t="s">
        <v>511</v>
      </c>
      <c r="D218" s="45" t="s">
        <v>215</v>
      </c>
      <c r="E218" s="163" t="s">
        <v>561</v>
      </c>
      <c r="F218" s="29">
        <v>226</v>
      </c>
      <c r="G218" s="41"/>
      <c r="H218" s="73">
        <v>67077.399999999994</v>
      </c>
      <c r="I218" s="155"/>
      <c r="J218" s="166">
        <v>49250</v>
      </c>
      <c r="K218" s="155"/>
      <c r="L218" s="166">
        <v>49250</v>
      </c>
      <c r="M218" s="36"/>
    </row>
    <row r="219" spans="1:15" ht="63.75" x14ac:dyDescent="0.2">
      <c r="A219" s="7">
        <v>23</v>
      </c>
      <c r="B219" s="62" t="s">
        <v>385</v>
      </c>
      <c r="C219" s="163"/>
      <c r="D219" s="45"/>
      <c r="E219" s="163"/>
      <c r="F219" s="163"/>
      <c r="G219" s="4"/>
      <c r="H219" s="72">
        <f>H220+H228</f>
        <v>989415.48</v>
      </c>
      <c r="I219" s="14"/>
      <c r="J219" s="28"/>
      <c r="K219" s="14"/>
      <c r="L219" s="28"/>
      <c r="M219" s="4"/>
    </row>
    <row r="220" spans="1:15" ht="78.75" x14ac:dyDescent="0.2">
      <c r="A220" s="8" t="s">
        <v>386</v>
      </c>
      <c r="B220" s="63" t="s">
        <v>122</v>
      </c>
      <c r="C220" s="163"/>
      <c r="D220" s="45"/>
      <c r="E220" s="163" t="s">
        <v>576</v>
      </c>
      <c r="F220" s="163">
        <v>226</v>
      </c>
      <c r="G220" s="4"/>
      <c r="H220" s="73">
        <v>810000</v>
      </c>
      <c r="I220" s="14"/>
      <c r="J220" s="166">
        <v>801800</v>
      </c>
      <c r="K220" s="14"/>
      <c r="L220" s="28">
        <f>J220</f>
        <v>801800</v>
      </c>
      <c r="M220" s="4"/>
      <c r="N220" s="42"/>
    </row>
    <row r="221" spans="1:15" x14ac:dyDescent="0.2">
      <c r="A221" s="8" t="s">
        <v>387</v>
      </c>
      <c r="B221" s="63" t="s">
        <v>388</v>
      </c>
      <c r="C221" s="163"/>
      <c r="D221" s="45"/>
      <c r="E221" s="163"/>
      <c r="F221" s="163"/>
      <c r="G221" s="4"/>
      <c r="H221" s="73">
        <v>0</v>
      </c>
      <c r="I221" s="14"/>
      <c r="J221" s="28"/>
      <c r="K221" s="14"/>
      <c r="L221" s="28"/>
      <c r="M221" s="4"/>
    </row>
    <row r="222" spans="1:15" x14ac:dyDescent="0.2">
      <c r="A222" s="8" t="s">
        <v>389</v>
      </c>
      <c r="B222" s="63" t="s">
        <v>228</v>
      </c>
      <c r="C222" s="163"/>
      <c r="D222" s="45"/>
      <c r="E222" s="29"/>
      <c r="F222" s="29"/>
      <c r="G222" s="4"/>
      <c r="H222" s="73">
        <v>0</v>
      </c>
      <c r="I222" s="14"/>
      <c r="J222" s="28"/>
      <c r="K222" s="14"/>
      <c r="L222" s="28"/>
      <c r="M222" s="4"/>
    </row>
    <row r="223" spans="1:15" x14ac:dyDescent="0.2">
      <c r="A223" s="8" t="s">
        <v>390</v>
      </c>
      <c r="B223" s="63" t="s">
        <v>13</v>
      </c>
      <c r="C223" s="44"/>
      <c r="D223" s="45"/>
      <c r="E223" s="163"/>
      <c r="F223" s="163"/>
      <c r="G223" s="4"/>
      <c r="H223" s="73">
        <v>0</v>
      </c>
      <c r="I223" s="14"/>
      <c r="J223" s="28"/>
      <c r="K223" s="14"/>
      <c r="L223" s="28"/>
      <c r="M223" s="4"/>
      <c r="N223" s="43"/>
      <c r="O223" s="43"/>
    </row>
    <row r="224" spans="1:15" x14ac:dyDescent="0.2">
      <c r="A224" s="8" t="s">
        <v>391</v>
      </c>
      <c r="B224" s="63" t="s">
        <v>47</v>
      </c>
      <c r="C224" s="163"/>
      <c r="D224" s="45"/>
      <c r="E224" s="29"/>
      <c r="F224" s="29"/>
      <c r="G224" s="4"/>
      <c r="H224" s="73">
        <v>0</v>
      </c>
      <c r="I224" s="14"/>
      <c r="J224" s="28"/>
      <c r="K224" s="14"/>
      <c r="L224" s="28"/>
      <c r="M224" s="4"/>
    </row>
    <row r="225" spans="1:13" ht="25.5" x14ac:dyDescent="0.2">
      <c r="A225" s="8" t="s">
        <v>392</v>
      </c>
      <c r="B225" s="63" t="s">
        <v>195</v>
      </c>
      <c r="C225" s="163"/>
      <c r="D225" s="45"/>
      <c r="E225" s="163"/>
      <c r="F225" s="163"/>
      <c r="G225" s="4"/>
      <c r="H225" s="73">
        <v>0</v>
      </c>
      <c r="I225" s="14"/>
      <c r="J225" s="28"/>
      <c r="K225" s="14"/>
      <c r="L225" s="28"/>
      <c r="M225" s="4"/>
    </row>
    <row r="226" spans="1:13" s="3" customFormat="1" x14ac:dyDescent="0.2">
      <c r="A226" s="8" t="s">
        <v>393</v>
      </c>
      <c r="B226" s="63" t="s">
        <v>221</v>
      </c>
      <c r="C226" s="163"/>
      <c r="D226" s="44"/>
      <c r="E226" s="163"/>
      <c r="F226" s="37"/>
      <c r="G226" s="36"/>
      <c r="H226" s="73">
        <v>0</v>
      </c>
      <c r="I226" s="39"/>
      <c r="J226" s="38"/>
      <c r="K226" s="39"/>
      <c r="L226" s="38"/>
      <c r="M226" s="36"/>
    </row>
    <row r="227" spans="1:13" x14ac:dyDescent="0.2">
      <c r="A227" s="8" t="s">
        <v>394</v>
      </c>
      <c r="B227" s="63" t="s">
        <v>46</v>
      </c>
      <c r="C227" s="163"/>
      <c r="D227" s="45"/>
      <c r="E227" s="29"/>
      <c r="F227" s="29"/>
      <c r="G227" s="4"/>
      <c r="H227" s="73">
        <v>0</v>
      </c>
      <c r="I227" s="14"/>
      <c r="J227" s="28"/>
      <c r="K227" s="14"/>
      <c r="L227" s="28"/>
      <c r="M227" s="4"/>
    </row>
    <row r="228" spans="1:13" ht="33.75" x14ac:dyDescent="0.2">
      <c r="A228" s="10" t="s">
        <v>395</v>
      </c>
      <c r="B228" s="63" t="s">
        <v>27</v>
      </c>
      <c r="C228" s="163" t="s">
        <v>511</v>
      </c>
      <c r="D228" s="45" t="s">
        <v>215</v>
      </c>
      <c r="E228" s="163" t="s">
        <v>561</v>
      </c>
      <c r="F228" s="29">
        <v>226</v>
      </c>
      <c r="G228" s="4"/>
      <c r="H228" s="73">
        <v>179415.48</v>
      </c>
      <c r="I228" s="14"/>
      <c r="J228" s="28">
        <v>90224</v>
      </c>
      <c r="K228" s="14"/>
      <c r="L228" s="28">
        <v>90224</v>
      </c>
      <c r="M228" s="4"/>
    </row>
    <row r="229" spans="1:13" ht="63.75" x14ac:dyDescent="0.2">
      <c r="A229" s="7">
        <v>33</v>
      </c>
      <c r="B229" s="62" t="s">
        <v>396</v>
      </c>
      <c r="C229" s="163"/>
      <c r="D229" s="45"/>
      <c r="E229" s="29"/>
      <c r="F229" s="29"/>
      <c r="G229" s="4"/>
      <c r="H229" s="72">
        <f>H230+H231</f>
        <v>817077.4</v>
      </c>
      <c r="I229" s="14"/>
      <c r="J229" s="28"/>
      <c r="K229" s="14"/>
      <c r="L229" s="28"/>
      <c r="M229" s="4"/>
    </row>
    <row r="230" spans="1:13" ht="78.75" x14ac:dyDescent="0.2">
      <c r="A230" s="10" t="s">
        <v>397</v>
      </c>
      <c r="B230" s="63" t="s">
        <v>139</v>
      </c>
      <c r="C230" s="163"/>
      <c r="D230" s="45"/>
      <c r="E230" s="163" t="s">
        <v>577</v>
      </c>
      <c r="F230" s="29">
        <v>226</v>
      </c>
      <c r="G230" s="4"/>
      <c r="H230" s="73">
        <v>750000</v>
      </c>
      <c r="I230" s="14"/>
      <c r="J230" s="28">
        <v>670000</v>
      </c>
      <c r="K230" s="14"/>
      <c r="L230" s="28">
        <v>670000</v>
      </c>
      <c r="M230" s="4"/>
    </row>
    <row r="231" spans="1:13" ht="33.75" x14ac:dyDescent="0.2">
      <c r="A231" s="10" t="s">
        <v>398</v>
      </c>
      <c r="B231" s="63" t="s">
        <v>27</v>
      </c>
      <c r="C231" s="163" t="s">
        <v>511</v>
      </c>
      <c r="D231" s="45" t="s">
        <v>215</v>
      </c>
      <c r="E231" s="163" t="s">
        <v>561</v>
      </c>
      <c r="F231" s="29">
        <v>226</v>
      </c>
      <c r="G231" s="4"/>
      <c r="H231" s="73">
        <v>67077.399999999994</v>
      </c>
      <c r="I231" s="14"/>
      <c r="J231" s="28">
        <v>71050</v>
      </c>
      <c r="K231" s="14"/>
      <c r="L231" s="28">
        <v>71050</v>
      </c>
      <c r="M231" s="4"/>
    </row>
    <row r="232" spans="1:13" ht="38.25" x14ac:dyDescent="0.2">
      <c r="A232" s="7">
        <v>50</v>
      </c>
      <c r="B232" s="62" t="s">
        <v>399</v>
      </c>
      <c r="C232" s="163"/>
      <c r="D232" s="45"/>
      <c r="E232" s="29"/>
      <c r="F232" s="29"/>
      <c r="G232" s="4"/>
      <c r="H232" s="76">
        <f>H233+H240</f>
        <v>1647077.4</v>
      </c>
      <c r="I232" s="14"/>
      <c r="J232" s="28"/>
      <c r="K232" s="14"/>
      <c r="L232" s="28"/>
      <c r="M232" s="4"/>
    </row>
    <row r="233" spans="1:13" ht="38.25" x14ac:dyDescent="0.2">
      <c r="A233" s="10" t="s">
        <v>400</v>
      </c>
      <c r="B233" s="63" t="s">
        <v>122</v>
      </c>
      <c r="C233" s="163"/>
      <c r="D233" s="45"/>
      <c r="E233" s="29"/>
      <c r="F233" s="29">
        <v>226</v>
      </c>
      <c r="G233" s="4"/>
      <c r="H233" s="73">
        <v>1580000</v>
      </c>
      <c r="I233" s="14"/>
      <c r="J233" s="28"/>
      <c r="K233" s="14"/>
      <c r="L233" s="28"/>
      <c r="M233" s="4"/>
    </row>
    <row r="234" spans="1:13" ht="25.5" x14ac:dyDescent="0.2">
      <c r="A234" s="64" t="s">
        <v>401</v>
      </c>
      <c r="B234" s="63" t="s">
        <v>245</v>
      </c>
      <c r="C234" s="163"/>
      <c r="D234" s="45"/>
      <c r="E234" s="29"/>
      <c r="F234" s="29"/>
      <c r="G234" s="4"/>
      <c r="H234" s="73">
        <v>0</v>
      </c>
      <c r="I234" s="14"/>
      <c r="J234" s="28"/>
      <c r="K234" s="14"/>
      <c r="L234" s="28"/>
      <c r="M234" s="4"/>
    </row>
    <row r="235" spans="1:13" x14ac:dyDescent="0.2">
      <c r="A235" s="64" t="s">
        <v>402</v>
      </c>
      <c r="B235" s="63" t="s">
        <v>403</v>
      </c>
      <c r="C235" s="163"/>
      <c r="D235" s="45"/>
      <c r="E235" s="29"/>
      <c r="F235" s="29"/>
      <c r="G235" s="4"/>
      <c r="H235" s="73">
        <v>0</v>
      </c>
      <c r="I235" s="14"/>
      <c r="J235" s="28"/>
      <c r="K235" s="14"/>
      <c r="L235" s="28"/>
      <c r="M235" s="4"/>
    </row>
    <row r="236" spans="1:13" x14ac:dyDescent="0.2">
      <c r="A236" s="64" t="s">
        <v>404</v>
      </c>
      <c r="B236" s="63" t="s">
        <v>405</v>
      </c>
      <c r="C236" s="163"/>
      <c r="D236" s="45"/>
      <c r="E236" s="29"/>
      <c r="F236" s="29"/>
      <c r="G236" s="4"/>
      <c r="H236" s="73">
        <v>0</v>
      </c>
      <c r="I236" s="14"/>
      <c r="J236" s="28"/>
      <c r="K236" s="14"/>
      <c r="L236" s="28"/>
      <c r="M236" s="4"/>
    </row>
    <row r="237" spans="1:13" x14ac:dyDescent="0.2">
      <c r="A237" s="64" t="s">
        <v>406</v>
      </c>
      <c r="B237" s="63" t="s">
        <v>23</v>
      </c>
      <c r="C237" s="163"/>
      <c r="D237" s="45"/>
      <c r="E237" s="29"/>
      <c r="F237" s="29"/>
      <c r="G237" s="4"/>
      <c r="H237" s="73">
        <v>0</v>
      </c>
      <c r="I237" s="14"/>
      <c r="J237" s="28"/>
      <c r="K237" s="14"/>
      <c r="L237" s="28"/>
      <c r="M237" s="4"/>
    </row>
    <row r="238" spans="1:13" x14ac:dyDescent="0.2">
      <c r="A238" s="10" t="s">
        <v>407</v>
      </c>
      <c r="B238" s="63" t="s">
        <v>13</v>
      </c>
      <c r="C238" s="163"/>
      <c r="D238" s="45"/>
      <c r="E238" s="29"/>
      <c r="F238" s="29"/>
      <c r="G238" s="4"/>
      <c r="H238" s="73">
        <v>0</v>
      </c>
      <c r="I238" s="14"/>
      <c r="J238" s="28"/>
      <c r="K238" s="14"/>
      <c r="L238" s="28"/>
      <c r="M238" s="4"/>
    </row>
    <row r="239" spans="1:13" ht="25.5" x14ac:dyDescent="0.2">
      <c r="A239" s="10" t="s">
        <v>408</v>
      </c>
      <c r="B239" s="63" t="s">
        <v>231</v>
      </c>
      <c r="C239" s="163" t="s">
        <v>512</v>
      </c>
      <c r="D239" s="45" t="s">
        <v>510</v>
      </c>
      <c r="E239" s="29"/>
      <c r="F239" s="29"/>
      <c r="G239" s="4"/>
      <c r="H239" s="73">
        <v>0</v>
      </c>
      <c r="I239" s="14"/>
      <c r="J239" s="28"/>
      <c r="K239" s="14"/>
      <c r="L239" s="28"/>
      <c r="M239" s="4"/>
    </row>
    <row r="240" spans="1:13" ht="33.75" x14ac:dyDescent="0.2">
      <c r="A240" s="10" t="s">
        <v>409</v>
      </c>
      <c r="B240" s="63" t="s">
        <v>27</v>
      </c>
      <c r="C240" s="163" t="s">
        <v>511</v>
      </c>
      <c r="D240" s="45" t="s">
        <v>215</v>
      </c>
      <c r="E240" s="163" t="s">
        <v>561</v>
      </c>
      <c r="F240" s="29">
        <v>226</v>
      </c>
      <c r="G240" s="4"/>
      <c r="H240" s="73">
        <v>67077.399999999994</v>
      </c>
      <c r="I240" s="14"/>
      <c r="J240" s="28"/>
      <c r="K240" s="14"/>
      <c r="L240" s="28"/>
      <c r="M240" s="4"/>
    </row>
    <row r="241" spans="1:13" ht="51" x14ac:dyDescent="0.2">
      <c r="A241" s="7">
        <v>66</v>
      </c>
      <c r="B241" s="62" t="s">
        <v>158</v>
      </c>
      <c r="C241" s="163"/>
      <c r="D241" s="45"/>
      <c r="E241" s="29"/>
      <c r="F241" s="29"/>
      <c r="G241" s="4"/>
      <c r="H241" s="72">
        <f>H246+H242</f>
        <v>2039478.64</v>
      </c>
      <c r="I241" s="14"/>
      <c r="J241" s="28"/>
      <c r="K241" s="14"/>
      <c r="L241" s="28"/>
      <c r="M241" s="4"/>
    </row>
    <row r="242" spans="1:13" ht="25.5" x14ac:dyDescent="0.2">
      <c r="A242" s="8" t="s">
        <v>410</v>
      </c>
      <c r="B242" s="63" t="s">
        <v>159</v>
      </c>
      <c r="C242" s="163"/>
      <c r="D242" s="45"/>
      <c r="E242" s="29"/>
      <c r="F242" s="29">
        <v>226</v>
      </c>
      <c r="G242" s="4"/>
      <c r="H242" s="73">
        <f>1800000+150000</f>
        <v>1950000</v>
      </c>
      <c r="I242" s="14"/>
      <c r="J242" s="28"/>
      <c r="K242" s="14"/>
      <c r="L242" s="28"/>
      <c r="M242" s="4"/>
    </row>
    <row r="243" spans="1:13" ht="63.75" x14ac:dyDescent="0.2">
      <c r="A243" s="8"/>
      <c r="B243" s="63" t="s">
        <v>411</v>
      </c>
      <c r="C243" s="163"/>
      <c r="D243" s="45"/>
      <c r="E243" s="29"/>
      <c r="F243" s="29"/>
      <c r="G243" s="4"/>
      <c r="H243" s="73"/>
      <c r="I243" s="14"/>
      <c r="J243" s="28"/>
      <c r="K243" s="14"/>
      <c r="L243" s="28"/>
      <c r="M243" s="4"/>
    </row>
    <row r="244" spans="1:13" ht="51" x14ac:dyDescent="0.2">
      <c r="A244" s="8"/>
      <c r="B244" s="63" t="s">
        <v>412</v>
      </c>
      <c r="C244" s="163"/>
      <c r="D244" s="45"/>
      <c r="E244" s="29"/>
      <c r="F244" s="29"/>
      <c r="G244" s="4"/>
      <c r="H244" s="73"/>
      <c r="I244" s="14"/>
      <c r="J244" s="28"/>
      <c r="K244" s="14"/>
      <c r="L244" s="28"/>
      <c r="M244" s="4"/>
    </row>
    <row r="245" spans="1:13" x14ac:dyDescent="0.2">
      <c r="A245" s="8"/>
      <c r="B245" s="63" t="s">
        <v>49</v>
      </c>
      <c r="C245" s="163"/>
      <c r="D245" s="45"/>
      <c r="E245" s="29"/>
      <c r="F245" s="29"/>
      <c r="G245" s="4"/>
      <c r="H245" s="73"/>
      <c r="I245" s="14"/>
      <c r="J245" s="28"/>
      <c r="K245" s="14"/>
      <c r="L245" s="28"/>
      <c r="M245" s="4"/>
    </row>
    <row r="246" spans="1:13" ht="34.5" thickBot="1" x14ac:dyDescent="0.25">
      <c r="A246" s="59" t="s">
        <v>413</v>
      </c>
      <c r="B246" s="91" t="s">
        <v>27</v>
      </c>
      <c r="C246" s="163" t="s">
        <v>511</v>
      </c>
      <c r="D246" s="45" t="s">
        <v>215</v>
      </c>
      <c r="E246" s="163" t="s">
        <v>561</v>
      </c>
      <c r="F246" s="12">
        <v>226</v>
      </c>
      <c r="G246" s="11"/>
      <c r="H246" s="88">
        <v>89478.64</v>
      </c>
      <c r="I246" s="13"/>
      <c r="J246" s="171"/>
      <c r="K246" s="13"/>
      <c r="L246" s="171"/>
      <c r="M246" s="11"/>
    </row>
    <row r="247" spans="1:13" ht="19.5" customHeight="1" thickBot="1" x14ac:dyDescent="0.25">
      <c r="A247" s="198"/>
      <c r="B247" s="199" t="s">
        <v>8</v>
      </c>
      <c r="C247" s="180"/>
      <c r="D247" s="200"/>
      <c r="E247" s="179"/>
      <c r="F247" s="179"/>
      <c r="G247" s="201"/>
      <c r="H247" s="202">
        <f>H216+H229+H219+H232+H241</f>
        <v>6210126.3200000003</v>
      </c>
      <c r="I247" s="203"/>
      <c r="J247" s="204">
        <f>SUM(J217:J246)</f>
        <v>2285324</v>
      </c>
      <c r="K247" s="203"/>
      <c r="L247" s="205">
        <f>SUM(L217:L246)</f>
        <v>2285324</v>
      </c>
      <c r="M247" s="201"/>
    </row>
    <row r="248" spans="1:13" ht="38.25" x14ac:dyDescent="0.2">
      <c r="A248" s="89" t="s">
        <v>415</v>
      </c>
      <c r="B248" s="84" t="s">
        <v>416</v>
      </c>
      <c r="C248" s="56"/>
      <c r="D248" s="60"/>
      <c r="E248" s="58"/>
      <c r="F248" s="58"/>
      <c r="G248" s="32"/>
      <c r="H248" s="57"/>
      <c r="I248" s="61"/>
      <c r="J248" s="57"/>
      <c r="K248" s="61"/>
      <c r="L248" s="57"/>
      <c r="M248" s="32"/>
    </row>
    <row r="249" spans="1:13" ht="60" x14ac:dyDescent="0.2">
      <c r="A249" s="10" t="s">
        <v>160</v>
      </c>
      <c r="B249" s="63" t="s">
        <v>73</v>
      </c>
      <c r="C249" s="159" t="s">
        <v>562</v>
      </c>
      <c r="D249" s="160" t="s">
        <v>527</v>
      </c>
      <c r="E249" s="161" t="s">
        <v>563</v>
      </c>
      <c r="F249" s="29">
        <v>211</v>
      </c>
      <c r="G249" s="4"/>
      <c r="H249" s="73">
        <v>14681720</v>
      </c>
      <c r="I249" s="14"/>
      <c r="J249" s="28">
        <v>6702195.8899999997</v>
      </c>
      <c r="K249" s="14"/>
      <c r="L249" s="28">
        <f>J249</f>
        <v>6702195.8899999997</v>
      </c>
      <c r="M249" s="4"/>
    </row>
    <row r="250" spans="1:13" ht="38.25" x14ac:dyDescent="0.2">
      <c r="A250" s="10" t="s">
        <v>18</v>
      </c>
      <c r="B250" s="63" t="s">
        <v>74</v>
      </c>
      <c r="C250" s="163"/>
      <c r="D250" s="45"/>
      <c r="E250" s="29" t="s">
        <v>564</v>
      </c>
      <c r="F250" s="29">
        <v>211</v>
      </c>
      <c r="G250" s="4"/>
      <c r="H250" s="73">
        <v>156960</v>
      </c>
      <c r="I250" s="14"/>
      <c r="J250" s="28">
        <v>26560</v>
      </c>
      <c r="K250" s="14"/>
      <c r="L250" s="28">
        <f>J250</f>
        <v>26560</v>
      </c>
      <c r="M250" s="4"/>
    </row>
    <row r="251" spans="1:13" x14ac:dyDescent="0.2">
      <c r="A251" s="10" t="s">
        <v>20</v>
      </c>
      <c r="B251" s="63" t="s">
        <v>75</v>
      </c>
      <c r="C251" s="163"/>
      <c r="D251" s="45"/>
      <c r="E251" s="29"/>
      <c r="F251" s="29">
        <v>213</v>
      </c>
      <c r="G251" s="4"/>
      <c r="H251" s="73">
        <v>4433880</v>
      </c>
      <c r="I251" s="14"/>
      <c r="J251" s="28">
        <v>1884749.14</v>
      </c>
      <c r="K251" s="14"/>
      <c r="L251" s="28">
        <f>J251</f>
        <v>1884749.14</v>
      </c>
      <c r="M251" s="4"/>
    </row>
    <row r="252" spans="1:13" ht="25.5" x14ac:dyDescent="0.2">
      <c r="A252" s="10" t="s">
        <v>1</v>
      </c>
      <c r="B252" s="63" t="s">
        <v>76</v>
      </c>
      <c r="C252" s="163"/>
      <c r="D252" s="45"/>
      <c r="E252" s="29"/>
      <c r="F252" s="29">
        <v>213</v>
      </c>
      <c r="G252" s="4"/>
      <c r="H252" s="73">
        <v>47402</v>
      </c>
      <c r="I252" s="14"/>
      <c r="J252" s="28">
        <v>7681.25</v>
      </c>
      <c r="K252" s="14"/>
      <c r="L252" s="28">
        <f>J252</f>
        <v>7681.25</v>
      </c>
      <c r="M252" s="4"/>
    </row>
    <row r="253" spans="1:13" ht="37.5" customHeight="1" x14ac:dyDescent="0.2">
      <c r="A253" s="10" t="s">
        <v>2</v>
      </c>
      <c r="B253" s="63" t="s">
        <v>417</v>
      </c>
      <c r="C253" s="163" t="s">
        <v>214</v>
      </c>
      <c r="D253" s="45" t="s">
        <v>527</v>
      </c>
      <c r="E253" s="163" t="s">
        <v>575</v>
      </c>
      <c r="F253" s="29">
        <v>221</v>
      </c>
      <c r="G253" s="4"/>
      <c r="H253" s="73">
        <v>3000</v>
      </c>
      <c r="I253" s="14"/>
      <c r="J253" s="28">
        <f>99.5+142</f>
        <v>241.5</v>
      </c>
      <c r="K253" s="14"/>
      <c r="L253" s="28">
        <f>J253</f>
        <v>241.5</v>
      </c>
      <c r="M253" s="4"/>
    </row>
    <row r="254" spans="1:13" ht="33.75" x14ac:dyDescent="0.2">
      <c r="A254" s="10" t="s">
        <v>25</v>
      </c>
      <c r="B254" s="63" t="s">
        <v>78</v>
      </c>
      <c r="C254" s="163" t="s">
        <v>214</v>
      </c>
      <c r="D254" s="45" t="s">
        <v>539</v>
      </c>
      <c r="E254" s="163" t="s">
        <v>540</v>
      </c>
      <c r="F254" s="29">
        <v>224</v>
      </c>
      <c r="G254" s="4"/>
      <c r="H254" s="73">
        <v>2669340</v>
      </c>
      <c r="I254" s="14"/>
      <c r="J254" s="28">
        <v>2669340</v>
      </c>
      <c r="K254" s="14"/>
      <c r="L254" s="28">
        <v>1112225</v>
      </c>
      <c r="M254" s="4"/>
    </row>
    <row r="255" spans="1:13" x14ac:dyDescent="0.2">
      <c r="A255" s="10" t="s">
        <v>418</v>
      </c>
      <c r="B255" s="63" t="s">
        <v>78</v>
      </c>
      <c r="C255" s="163"/>
      <c r="D255" s="45"/>
      <c r="E255" s="29"/>
      <c r="F255" s="29"/>
      <c r="G255" s="4"/>
      <c r="H255" s="73">
        <v>0</v>
      </c>
      <c r="I255" s="14"/>
      <c r="J255" s="28"/>
      <c r="K255" s="14"/>
      <c r="L255" s="28"/>
      <c r="M255" s="4"/>
    </row>
    <row r="256" spans="1:13" ht="25.5" x14ac:dyDescent="0.2">
      <c r="A256" s="10" t="s">
        <v>161</v>
      </c>
      <c r="B256" s="63" t="s">
        <v>419</v>
      </c>
      <c r="C256" s="163" t="s">
        <v>214</v>
      </c>
      <c r="D256" s="45" t="s">
        <v>527</v>
      </c>
      <c r="E256" s="29"/>
      <c r="F256" s="29">
        <v>225</v>
      </c>
      <c r="G256" s="4"/>
      <c r="H256" s="73">
        <v>35000</v>
      </c>
      <c r="I256" s="14"/>
      <c r="J256" s="28"/>
      <c r="K256" s="14"/>
      <c r="L256" s="28"/>
      <c r="M256" s="4"/>
    </row>
    <row r="257" spans="1:13" ht="67.5" x14ac:dyDescent="0.2">
      <c r="A257" s="10" t="s">
        <v>28</v>
      </c>
      <c r="B257" s="90" t="s">
        <v>627</v>
      </c>
      <c r="C257" s="163" t="s">
        <v>214</v>
      </c>
      <c r="D257" s="45" t="s">
        <v>527</v>
      </c>
      <c r="E257" s="163" t="s">
        <v>574</v>
      </c>
      <c r="F257" s="29">
        <v>310</v>
      </c>
      <c r="G257" s="4"/>
      <c r="H257" s="73">
        <v>250000</v>
      </c>
      <c r="I257" s="14"/>
      <c r="J257" s="28">
        <f>71031+50000</f>
        <v>121031</v>
      </c>
      <c r="K257" s="14"/>
      <c r="L257" s="28">
        <f>J257</f>
        <v>121031</v>
      </c>
      <c r="M257" s="4"/>
    </row>
    <row r="258" spans="1:13" x14ac:dyDescent="0.2">
      <c r="A258" s="10" t="s">
        <v>31</v>
      </c>
      <c r="B258" s="63" t="s">
        <v>420</v>
      </c>
      <c r="C258" s="163"/>
      <c r="D258" s="45"/>
      <c r="E258" s="29"/>
      <c r="F258" s="29">
        <v>310</v>
      </c>
      <c r="G258" s="4"/>
      <c r="H258" s="73">
        <f>695500-295500</f>
        <v>400000</v>
      </c>
      <c r="I258" s="14"/>
      <c r="J258" s="28"/>
      <c r="K258" s="14"/>
      <c r="L258" s="28"/>
      <c r="M258" s="4"/>
    </row>
    <row r="259" spans="1:13" x14ac:dyDescent="0.2">
      <c r="A259" s="10" t="s">
        <v>32</v>
      </c>
      <c r="B259" s="63" t="s">
        <v>421</v>
      </c>
      <c r="C259" s="163"/>
      <c r="D259" s="45"/>
      <c r="E259" s="29"/>
      <c r="F259" s="29">
        <v>310</v>
      </c>
      <c r="G259" s="4"/>
      <c r="H259" s="73">
        <v>200000</v>
      </c>
      <c r="I259" s="14"/>
      <c r="J259" s="28"/>
      <c r="K259" s="14"/>
      <c r="L259" s="28"/>
      <c r="M259" s="4"/>
    </row>
    <row r="260" spans="1:13" ht="38.25" x14ac:dyDescent="0.2">
      <c r="A260" s="10" t="s">
        <v>628</v>
      </c>
      <c r="B260" s="63" t="s">
        <v>629</v>
      </c>
      <c r="C260" s="163"/>
      <c r="D260" s="45"/>
      <c r="E260" s="29"/>
      <c r="F260" s="29">
        <v>310</v>
      </c>
      <c r="G260" s="4"/>
      <c r="H260" s="73">
        <v>108000</v>
      </c>
      <c r="I260" s="14"/>
      <c r="J260" s="28"/>
      <c r="K260" s="14"/>
      <c r="L260" s="28"/>
      <c r="M260" s="4"/>
    </row>
    <row r="261" spans="1:13" ht="63.75" x14ac:dyDescent="0.2">
      <c r="A261" s="10" t="s">
        <v>630</v>
      </c>
      <c r="B261" s="63" t="s">
        <v>631</v>
      </c>
      <c r="C261" s="163"/>
      <c r="D261" s="45"/>
      <c r="E261" s="29"/>
      <c r="F261" s="29">
        <v>310</v>
      </c>
      <c r="G261" s="4"/>
      <c r="H261" s="73">
        <v>50090</v>
      </c>
      <c r="I261" s="14"/>
      <c r="J261" s="28"/>
      <c r="K261" s="14"/>
      <c r="L261" s="28"/>
      <c r="M261" s="4"/>
    </row>
    <row r="262" spans="1:13" ht="25.5" x14ac:dyDescent="0.2">
      <c r="A262" s="10" t="s">
        <v>33</v>
      </c>
      <c r="B262" s="63" t="s">
        <v>422</v>
      </c>
      <c r="C262" s="163"/>
      <c r="D262" s="45"/>
      <c r="E262" s="29"/>
      <c r="F262" s="29">
        <v>310</v>
      </c>
      <c r="G262" s="4"/>
      <c r="H262" s="73">
        <v>95743</v>
      </c>
      <c r="I262" s="14"/>
      <c r="J262" s="28"/>
      <c r="K262" s="14"/>
      <c r="L262" s="28"/>
      <c r="M262" s="4"/>
    </row>
    <row r="263" spans="1:13" ht="45" x14ac:dyDescent="0.2">
      <c r="A263" s="10" t="s">
        <v>36</v>
      </c>
      <c r="B263" s="63" t="s">
        <v>77</v>
      </c>
      <c r="C263" s="163" t="s">
        <v>214</v>
      </c>
      <c r="D263" s="45" t="s">
        <v>215</v>
      </c>
      <c r="E263" s="163" t="s">
        <v>545</v>
      </c>
      <c r="F263" s="29" t="s">
        <v>612</v>
      </c>
      <c r="G263" s="4"/>
      <c r="H263" s="73">
        <v>3000</v>
      </c>
      <c r="I263" s="14"/>
      <c r="J263" s="28">
        <v>2000</v>
      </c>
      <c r="K263" s="14"/>
      <c r="L263" s="28">
        <f>143.48+56.4</f>
        <v>199.88</v>
      </c>
      <c r="M263" s="4"/>
    </row>
    <row r="264" spans="1:13" ht="45" x14ac:dyDescent="0.2">
      <c r="A264" s="10" t="s">
        <v>37</v>
      </c>
      <c r="B264" s="63" t="s">
        <v>77</v>
      </c>
      <c r="C264" s="163" t="s">
        <v>214</v>
      </c>
      <c r="D264" s="45" t="s">
        <v>541</v>
      </c>
      <c r="E264" s="163" t="s">
        <v>544</v>
      </c>
      <c r="F264" s="29" t="s">
        <v>612</v>
      </c>
      <c r="G264" s="4"/>
      <c r="H264" s="95">
        <v>25000</v>
      </c>
      <c r="I264" s="14"/>
      <c r="J264" s="28">
        <v>20000</v>
      </c>
      <c r="K264" s="14"/>
      <c r="L264" s="28">
        <f>5577.16+5650.56</f>
        <v>11227.720000000001</v>
      </c>
      <c r="M264" s="4"/>
    </row>
    <row r="265" spans="1:13" ht="45" x14ac:dyDescent="0.2">
      <c r="A265" s="10" t="s">
        <v>423</v>
      </c>
      <c r="B265" s="63" t="s">
        <v>424</v>
      </c>
      <c r="C265" s="163" t="s">
        <v>214</v>
      </c>
      <c r="D265" s="45" t="s">
        <v>542</v>
      </c>
      <c r="E265" s="163" t="s">
        <v>546</v>
      </c>
      <c r="F265" s="29" t="s">
        <v>612</v>
      </c>
      <c r="G265" s="4"/>
      <c r="H265" s="73">
        <v>89000</v>
      </c>
      <c r="I265" s="14"/>
      <c r="J265" s="28">
        <v>73200</v>
      </c>
      <c r="K265" s="14"/>
      <c r="L265" s="28">
        <f>12200+18300</f>
        <v>30500</v>
      </c>
      <c r="M265" s="4"/>
    </row>
    <row r="266" spans="1:13" x14ac:dyDescent="0.2">
      <c r="A266" s="10" t="s">
        <v>38</v>
      </c>
      <c r="B266" s="63" t="s">
        <v>15</v>
      </c>
      <c r="C266" s="163"/>
      <c r="D266" s="45"/>
      <c r="E266" s="29"/>
      <c r="F266" s="29" t="s">
        <v>606</v>
      </c>
      <c r="G266" s="4"/>
      <c r="H266" s="73">
        <v>21300</v>
      </c>
      <c r="I266" s="14"/>
      <c r="J266" s="28"/>
      <c r="K266" s="14"/>
      <c r="L266" s="28"/>
      <c r="M266" s="4"/>
    </row>
    <row r="267" spans="1:13" ht="67.5" x14ac:dyDescent="0.2">
      <c r="A267" s="10" t="s">
        <v>40</v>
      </c>
      <c r="B267" s="63" t="s">
        <v>425</v>
      </c>
      <c r="C267" s="163" t="s">
        <v>543</v>
      </c>
      <c r="D267" s="45" t="s">
        <v>215</v>
      </c>
      <c r="E267" s="163" t="s">
        <v>578</v>
      </c>
      <c r="F267" s="29">
        <v>225</v>
      </c>
      <c r="G267" s="4"/>
      <c r="H267" s="73">
        <f>35000+50000</f>
        <v>85000</v>
      </c>
      <c r="I267" s="14"/>
      <c r="J267" s="28">
        <f>21903.95+575</f>
        <v>22478.95</v>
      </c>
      <c r="K267" s="14"/>
      <c r="L267" s="28">
        <f>J267</f>
        <v>22478.95</v>
      </c>
      <c r="M267" s="4"/>
    </row>
    <row r="268" spans="1:13" x14ac:dyDescent="0.2">
      <c r="A268" s="10" t="s">
        <v>41</v>
      </c>
      <c r="B268" s="63" t="s">
        <v>426</v>
      </c>
      <c r="C268" s="163"/>
      <c r="D268" s="45"/>
      <c r="E268" s="29"/>
      <c r="F268" s="29" t="s">
        <v>626</v>
      </c>
      <c r="G268" s="4"/>
      <c r="H268" s="73">
        <v>50000</v>
      </c>
      <c r="I268" s="14"/>
      <c r="J268" s="28"/>
      <c r="K268" s="14"/>
      <c r="L268" s="28"/>
      <c r="M268" s="4"/>
    </row>
    <row r="269" spans="1:13" ht="33.75" x14ac:dyDescent="0.2">
      <c r="A269" s="10" t="s">
        <v>43</v>
      </c>
      <c r="B269" s="63" t="s">
        <v>427</v>
      </c>
      <c r="C269" s="163" t="s">
        <v>214</v>
      </c>
      <c r="D269" s="45" t="s">
        <v>215</v>
      </c>
      <c r="E269" s="163" t="s">
        <v>547</v>
      </c>
      <c r="F269" s="29" t="s">
        <v>608</v>
      </c>
      <c r="G269" s="4"/>
      <c r="H269" s="73">
        <v>2000</v>
      </c>
      <c r="I269" s="14"/>
      <c r="J269" s="28"/>
      <c r="K269" s="14"/>
      <c r="L269" s="28"/>
      <c r="M269" s="4"/>
    </row>
    <row r="270" spans="1:13" x14ac:dyDescent="0.2">
      <c r="A270" s="10" t="s">
        <v>44</v>
      </c>
      <c r="B270" s="63" t="s">
        <v>79</v>
      </c>
      <c r="C270" s="163"/>
      <c r="D270" s="45"/>
      <c r="E270" s="29"/>
      <c r="F270" s="29" t="s">
        <v>608</v>
      </c>
      <c r="G270" s="4"/>
      <c r="H270" s="73">
        <v>50000</v>
      </c>
      <c r="I270" s="14"/>
      <c r="J270" s="28"/>
      <c r="K270" s="14"/>
      <c r="L270" s="28"/>
      <c r="M270" s="4"/>
    </row>
    <row r="271" spans="1:13" ht="22.5" x14ac:dyDescent="0.2">
      <c r="A271" s="10" t="s">
        <v>131</v>
      </c>
      <c r="B271" s="63" t="s">
        <v>80</v>
      </c>
      <c r="C271" s="163" t="s">
        <v>214</v>
      </c>
      <c r="D271" s="45" t="s">
        <v>534</v>
      </c>
      <c r="E271" s="29"/>
      <c r="F271" s="29" t="s">
        <v>608</v>
      </c>
      <c r="G271" s="4"/>
      <c r="H271" s="73">
        <v>120000</v>
      </c>
      <c r="I271" s="14"/>
      <c r="J271" s="28"/>
      <c r="K271" s="14"/>
      <c r="L271" s="28"/>
      <c r="M271" s="4"/>
    </row>
    <row r="272" spans="1:13" ht="92.25" customHeight="1" x14ac:dyDescent="0.2">
      <c r="A272" s="10" t="s">
        <v>162</v>
      </c>
      <c r="B272" s="90" t="s">
        <v>81</v>
      </c>
      <c r="C272" s="163" t="s">
        <v>214</v>
      </c>
      <c r="D272" s="45" t="s">
        <v>527</v>
      </c>
      <c r="E272" s="163" t="s">
        <v>579</v>
      </c>
      <c r="F272" s="29" t="s">
        <v>608</v>
      </c>
      <c r="G272" s="4"/>
      <c r="H272" s="73">
        <v>110000</v>
      </c>
      <c r="I272" s="14"/>
      <c r="J272" s="28">
        <f>15000+5400+12000+3900+21600+15800</f>
        <v>73700</v>
      </c>
      <c r="K272" s="14"/>
      <c r="L272" s="28">
        <f>J272</f>
        <v>73700</v>
      </c>
      <c r="M272" s="4"/>
    </row>
    <row r="273" spans="1:13" ht="56.25" x14ac:dyDescent="0.2">
      <c r="A273" s="10" t="s">
        <v>69</v>
      </c>
      <c r="B273" s="66" t="s">
        <v>82</v>
      </c>
      <c r="C273" s="163" t="s">
        <v>214</v>
      </c>
      <c r="D273" s="45"/>
      <c r="E273" s="163" t="s">
        <v>548</v>
      </c>
      <c r="F273" s="29" t="s">
        <v>613</v>
      </c>
      <c r="G273" s="4"/>
      <c r="H273" s="73">
        <v>5000</v>
      </c>
      <c r="I273" s="14"/>
      <c r="J273" s="28">
        <f>2450+1500</f>
        <v>3950</v>
      </c>
      <c r="K273" s="14"/>
      <c r="L273" s="28">
        <f>J273</f>
        <v>3950</v>
      </c>
      <c r="M273" s="4"/>
    </row>
    <row r="274" spans="1:13" ht="101.25" x14ac:dyDescent="0.2">
      <c r="A274" s="10" t="s">
        <v>163</v>
      </c>
      <c r="B274" s="66" t="s">
        <v>83</v>
      </c>
      <c r="C274" s="163" t="s">
        <v>214</v>
      </c>
      <c r="D274" s="45"/>
      <c r="E274" s="163" t="s">
        <v>580</v>
      </c>
      <c r="F274" s="29" t="s">
        <v>608</v>
      </c>
      <c r="G274" s="4"/>
      <c r="H274" s="73">
        <v>100000</v>
      </c>
      <c r="I274" s="14"/>
      <c r="J274" s="28">
        <f>12936+14784+36262.2</f>
        <v>63982.2</v>
      </c>
      <c r="K274" s="14"/>
      <c r="L274" s="28">
        <f>J274</f>
        <v>63982.2</v>
      </c>
      <c r="M274" s="4"/>
    </row>
    <row r="275" spans="1:13" ht="25.5" x14ac:dyDescent="0.2">
      <c r="A275" s="10" t="s">
        <v>48</v>
      </c>
      <c r="B275" s="66" t="s">
        <v>428</v>
      </c>
      <c r="C275" s="163" t="s">
        <v>214</v>
      </c>
      <c r="D275" s="45"/>
      <c r="E275" s="29"/>
      <c r="F275" s="29" t="s">
        <v>608</v>
      </c>
      <c r="G275" s="4"/>
      <c r="H275" s="73">
        <v>40000</v>
      </c>
      <c r="I275" s="14"/>
      <c r="J275" s="28"/>
      <c r="K275" s="14"/>
      <c r="L275" s="28"/>
      <c r="M275" s="4"/>
    </row>
    <row r="276" spans="1:13" ht="78.75" x14ac:dyDescent="0.2">
      <c r="A276" s="10" t="s">
        <v>50</v>
      </c>
      <c r="B276" s="63" t="s">
        <v>429</v>
      </c>
      <c r="C276" s="163" t="s">
        <v>214</v>
      </c>
      <c r="D276" s="45"/>
      <c r="E276" s="163" t="s">
        <v>549</v>
      </c>
      <c r="F276" s="29" t="s">
        <v>604</v>
      </c>
      <c r="G276" s="4"/>
      <c r="H276" s="73">
        <f>24*1800+56800</f>
        <v>100000</v>
      </c>
      <c r="I276" s="14"/>
      <c r="J276" s="28">
        <f>11700+17136+13310</f>
        <v>42146</v>
      </c>
      <c r="K276" s="14"/>
      <c r="L276" s="28">
        <f>J276</f>
        <v>42146</v>
      </c>
      <c r="M276" s="4"/>
    </row>
    <row r="277" spans="1:13" ht="38.25" x14ac:dyDescent="0.2">
      <c r="A277" s="10" t="s">
        <v>136</v>
      </c>
      <c r="B277" s="63" t="s">
        <v>429</v>
      </c>
      <c r="C277" s="163"/>
      <c r="D277" s="45"/>
      <c r="E277" s="29"/>
      <c r="F277" s="29" t="s">
        <v>604</v>
      </c>
      <c r="G277" s="4"/>
      <c r="H277" s="73">
        <v>120000</v>
      </c>
      <c r="I277" s="14"/>
      <c r="J277" s="28"/>
      <c r="K277" s="14"/>
      <c r="L277" s="28"/>
      <c r="M277" s="4"/>
    </row>
    <row r="278" spans="1:13" ht="33.75" x14ac:dyDescent="0.2">
      <c r="A278" s="10" t="s">
        <v>164</v>
      </c>
      <c r="B278" s="63" t="s">
        <v>430</v>
      </c>
      <c r="C278" s="163"/>
      <c r="D278" s="45"/>
      <c r="E278" s="163" t="s">
        <v>581</v>
      </c>
      <c r="F278" s="29" t="s">
        <v>604</v>
      </c>
      <c r="G278" s="4"/>
      <c r="H278" s="73">
        <f>60000+300000</f>
        <v>360000</v>
      </c>
      <c r="I278" s="14"/>
      <c r="J278" s="28">
        <v>9217</v>
      </c>
      <c r="K278" s="14"/>
      <c r="L278" s="28">
        <f>J278</f>
        <v>9217</v>
      </c>
      <c r="M278" s="4"/>
    </row>
    <row r="279" spans="1:13" ht="66.75" customHeight="1" x14ac:dyDescent="0.2">
      <c r="A279" s="10" t="s">
        <v>51</v>
      </c>
      <c r="B279" s="63" t="s">
        <v>582</v>
      </c>
      <c r="C279" s="163"/>
      <c r="D279" s="45"/>
      <c r="E279" s="163"/>
      <c r="F279" s="29" t="s">
        <v>604</v>
      </c>
      <c r="G279" s="4"/>
      <c r="H279" s="73">
        <f>50000+150000+9000</f>
        <v>209000</v>
      </c>
      <c r="I279" s="14"/>
      <c r="J279" s="28"/>
      <c r="K279" s="14"/>
      <c r="L279" s="28"/>
      <c r="M279" s="4"/>
    </row>
    <row r="280" spans="1:13" ht="25.5" x14ac:dyDescent="0.2">
      <c r="A280" s="10" t="s">
        <v>52</v>
      </c>
      <c r="B280" s="63" t="s">
        <v>431</v>
      </c>
      <c r="C280" s="163"/>
      <c r="D280" s="45"/>
      <c r="E280" s="29"/>
      <c r="F280" s="29">
        <v>290</v>
      </c>
      <c r="G280" s="4"/>
      <c r="H280" s="73">
        <v>3000</v>
      </c>
      <c r="I280" s="14"/>
      <c r="J280" s="28"/>
      <c r="K280" s="14"/>
      <c r="L280" s="28"/>
      <c r="M280" s="4"/>
    </row>
    <row r="281" spans="1:13" ht="76.5" customHeight="1" x14ac:dyDescent="0.2">
      <c r="A281" s="10" t="s">
        <v>53</v>
      </c>
      <c r="B281" s="63" t="s">
        <v>84</v>
      </c>
      <c r="C281" s="163" t="s">
        <v>214</v>
      </c>
      <c r="D281" s="45" t="s">
        <v>527</v>
      </c>
      <c r="E281" s="163" t="s">
        <v>583</v>
      </c>
      <c r="F281" s="29" t="s">
        <v>633</v>
      </c>
      <c r="G281" s="4"/>
      <c r="H281" s="73">
        <v>431252</v>
      </c>
      <c r="I281" s="14"/>
      <c r="J281" s="28">
        <f>L281</f>
        <v>100154.8</v>
      </c>
      <c r="K281" s="14"/>
      <c r="L281" s="28">
        <v>100154.8</v>
      </c>
      <c r="M281" s="4"/>
    </row>
    <row r="282" spans="1:13" ht="25.5" x14ac:dyDescent="0.2">
      <c r="A282" s="59" t="s">
        <v>54</v>
      </c>
      <c r="B282" s="91" t="s">
        <v>85</v>
      </c>
      <c r="C282" s="163"/>
      <c r="D282" s="45"/>
      <c r="E282" s="29"/>
      <c r="F282" s="29" t="s">
        <v>604</v>
      </c>
      <c r="G282" s="4"/>
      <c r="H282" s="77">
        <v>95743</v>
      </c>
      <c r="I282" s="14"/>
      <c r="J282" s="28"/>
      <c r="K282" s="14"/>
      <c r="L282" s="28"/>
      <c r="M282" s="4"/>
    </row>
    <row r="283" spans="1:13" ht="41.25" customHeight="1" x14ac:dyDescent="0.2">
      <c r="A283" s="59" t="s">
        <v>58</v>
      </c>
      <c r="B283" s="91" t="s">
        <v>432</v>
      </c>
      <c r="C283" s="163" t="s">
        <v>214</v>
      </c>
      <c r="D283" s="45" t="s">
        <v>514</v>
      </c>
      <c r="E283" s="163" t="s">
        <v>550</v>
      </c>
      <c r="F283" s="29" t="s">
        <v>608</v>
      </c>
      <c r="G283" s="4"/>
      <c r="H283" s="77">
        <v>180000</v>
      </c>
      <c r="I283" s="14"/>
      <c r="J283" s="28">
        <v>180000</v>
      </c>
      <c r="K283" s="14"/>
      <c r="L283" s="28">
        <f>24490+17365+20065</f>
        <v>61920</v>
      </c>
      <c r="M283" s="4"/>
    </row>
    <row r="284" spans="1:13" s="2" customFormat="1" ht="25.5" x14ac:dyDescent="0.2">
      <c r="A284" s="92">
        <v>30</v>
      </c>
      <c r="B284" s="63" t="s">
        <v>433</v>
      </c>
      <c r="C284" s="163"/>
      <c r="D284" s="45"/>
      <c r="E284" s="29"/>
      <c r="F284" s="29">
        <v>290</v>
      </c>
      <c r="G284" s="41"/>
      <c r="H284" s="73">
        <v>30000</v>
      </c>
      <c r="I284" s="155"/>
      <c r="J284" s="166"/>
      <c r="K284" s="155"/>
      <c r="L284" s="166"/>
      <c r="M284" s="41"/>
    </row>
    <row r="285" spans="1:13" ht="56.25" x14ac:dyDescent="0.2">
      <c r="A285" s="59" t="s">
        <v>142</v>
      </c>
      <c r="B285" s="93" t="s">
        <v>434</v>
      </c>
      <c r="C285" s="163" t="s">
        <v>214</v>
      </c>
      <c r="D285" s="45" t="s">
        <v>215</v>
      </c>
      <c r="E285" s="163" t="s">
        <v>551</v>
      </c>
      <c r="F285" s="29" t="s">
        <v>608</v>
      </c>
      <c r="G285" s="4"/>
      <c r="H285" s="77">
        <v>62304</v>
      </c>
      <c r="I285" s="14"/>
      <c r="J285" s="28">
        <v>62304</v>
      </c>
      <c r="K285" s="14"/>
      <c r="L285" s="28">
        <f>15576+5192+5192</f>
        <v>25960</v>
      </c>
      <c r="M285" s="4"/>
    </row>
    <row r="286" spans="1:13" s="3" customFormat="1" ht="56.25" customHeight="1" x14ac:dyDescent="0.2">
      <c r="A286" s="92" t="s">
        <v>189</v>
      </c>
      <c r="B286" s="86" t="s">
        <v>435</v>
      </c>
      <c r="C286" s="163" t="s">
        <v>214</v>
      </c>
      <c r="D286" s="45" t="s">
        <v>510</v>
      </c>
      <c r="E286" s="163" t="s">
        <v>584</v>
      </c>
      <c r="F286" s="29">
        <v>225</v>
      </c>
      <c r="G286" s="41"/>
      <c r="H286" s="77">
        <v>38000</v>
      </c>
      <c r="I286" s="155"/>
      <c r="J286" s="166">
        <f>25500+4000</f>
        <v>29500</v>
      </c>
      <c r="K286" s="155"/>
      <c r="L286" s="166">
        <v>2000</v>
      </c>
      <c r="M286" s="41"/>
    </row>
    <row r="287" spans="1:13" ht="51" x14ac:dyDescent="0.2">
      <c r="A287" s="92" t="s">
        <v>190</v>
      </c>
      <c r="B287" s="63" t="s">
        <v>436</v>
      </c>
      <c r="C287" s="163" t="s">
        <v>214</v>
      </c>
      <c r="D287" s="45" t="s">
        <v>534</v>
      </c>
      <c r="E287" s="163"/>
      <c r="F287" s="163">
        <v>225</v>
      </c>
      <c r="G287" s="4"/>
      <c r="H287" s="77">
        <v>20000</v>
      </c>
      <c r="I287" s="14"/>
      <c r="J287" s="28"/>
      <c r="K287" s="14"/>
      <c r="L287" s="28"/>
      <c r="M287" s="4"/>
    </row>
    <row r="288" spans="1:13" ht="33.75" x14ac:dyDescent="0.2">
      <c r="A288" s="92" t="s">
        <v>97</v>
      </c>
      <c r="B288" s="63" t="s">
        <v>437</v>
      </c>
      <c r="C288" s="163" t="s">
        <v>214</v>
      </c>
      <c r="D288" s="45" t="s">
        <v>510</v>
      </c>
      <c r="E288" s="163" t="s">
        <v>585</v>
      </c>
      <c r="F288" s="163">
        <v>225</v>
      </c>
      <c r="G288" s="4"/>
      <c r="H288" s="77">
        <v>23000</v>
      </c>
      <c r="I288" s="14"/>
      <c r="J288" s="28">
        <v>23000</v>
      </c>
      <c r="K288" s="14"/>
      <c r="L288" s="28">
        <v>14375</v>
      </c>
      <c r="M288" s="4"/>
    </row>
    <row r="289" spans="1:13" ht="67.5" x14ac:dyDescent="0.2">
      <c r="A289" s="92" t="s">
        <v>62</v>
      </c>
      <c r="B289" s="63" t="s">
        <v>438</v>
      </c>
      <c r="C289" s="163" t="s">
        <v>214</v>
      </c>
      <c r="D289" s="45" t="s">
        <v>510</v>
      </c>
      <c r="E289" s="163" t="s">
        <v>586</v>
      </c>
      <c r="F289" s="29">
        <v>223</v>
      </c>
      <c r="G289" s="4"/>
      <c r="H289" s="77">
        <v>93250</v>
      </c>
      <c r="I289" s="14"/>
      <c r="J289" s="28">
        <v>93250</v>
      </c>
      <c r="K289" s="14"/>
      <c r="L289" s="28"/>
      <c r="M289" s="4"/>
    </row>
    <row r="290" spans="1:13" s="2" customFormat="1" ht="38.25" x14ac:dyDescent="0.2">
      <c r="A290" s="92" t="s">
        <v>63</v>
      </c>
      <c r="B290" s="63" t="s">
        <v>439</v>
      </c>
      <c r="C290" s="163" t="s">
        <v>214</v>
      </c>
      <c r="D290" s="45" t="s">
        <v>510</v>
      </c>
      <c r="E290" s="163" t="s">
        <v>587</v>
      </c>
      <c r="F290" s="29">
        <v>223</v>
      </c>
      <c r="G290" s="41"/>
      <c r="H290" s="77">
        <v>17000</v>
      </c>
      <c r="I290" s="155"/>
      <c r="J290" s="166">
        <v>16298.16</v>
      </c>
      <c r="K290" s="155"/>
      <c r="L290" s="166">
        <f>2725.75+1683.55+2725.75</f>
        <v>7135.05</v>
      </c>
      <c r="M290" s="41"/>
    </row>
    <row r="291" spans="1:13" ht="38.25" x14ac:dyDescent="0.2">
      <c r="A291" s="92" t="s">
        <v>64</v>
      </c>
      <c r="B291" s="63" t="s">
        <v>440</v>
      </c>
      <c r="C291" s="163" t="s">
        <v>214</v>
      </c>
      <c r="D291" s="45" t="s">
        <v>510</v>
      </c>
      <c r="E291" s="163" t="s">
        <v>588</v>
      </c>
      <c r="F291" s="163">
        <v>223</v>
      </c>
      <c r="G291" s="4"/>
      <c r="H291" s="77">
        <v>15000</v>
      </c>
      <c r="I291" s="14"/>
      <c r="J291" s="28">
        <v>14521.08</v>
      </c>
      <c r="K291" s="14"/>
      <c r="L291" s="28">
        <f>2468.59+1524.71+2468.58</f>
        <v>6461.88</v>
      </c>
      <c r="M291" s="4"/>
    </row>
    <row r="292" spans="1:13" ht="38.25" x14ac:dyDescent="0.2">
      <c r="A292" s="92" t="s">
        <v>65</v>
      </c>
      <c r="B292" s="63" t="s">
        <v>441</v>
      </c>
      <c r="C292" s="163" t="s">
        <v>214</v>
      </c>
      <c r="D292" s="45" t="s">
        <v>510</v>
      </c>
      <c r="E292" s="163"/>
      <c r="F292" s="29">
        <v>223</v>
      </c>
      <c r="G292" s="4"/>
      <c r="H292" s="77">
        <v>445000</v>
      </c>
      <c r="I292" s="14"/>
      <c r="J292" s="28"/>
      <c r="K292" s="14"/>
      <c r="L292" s="28"/>
      <c r="M292" s="4"/>
    </row>
    <row r="293" spans="1:13" ht="38.25" x14ac:dyDescent="0.2">
      <c r="A293" s="92" t="s">
        <v>148</v>
      </c>
      <c r="B293" s="63" t="s">
        <v>442</v>
      </c>
      <c r="C293" s="163"/>
      <c r="D293" s="45"/>
      <c r="E293" s="29"/>
      <c r="F293" s="29">
        <v>310</v>
      </c>
      <c r="G293" s="4"/>
      <c r="H293" s="77">
        <v>275970</v>
      </c>
      <c r="I293" s="14"/>
      <c r="J293" s="28"/>
      <c r="K293" s="14"/>
      <c r="L293" s="28"/>
      <c r="M293" s="4"/>
    </row>
    <row r="294" spans="1:13" ht="68.25" customHeight="1" x14ac:dyDescent="0.2">
      <c r="A294" s="92" t="s">
        <v>66</v>
      </c>
      <c r="B294" s="63" t="s">
        <v>443</v>
      </c>
      <c r="C294" s="163" t="s">
        <v>214</v>
      </c>
      <c r="D294" s="45" t="s">
        <v>510</v>
      </c>
      <c r="E294" s="163" t="s">
        <v>589</v>
      </c>
      <c r="F294" s="29">
        <v>223</v>
      </c>
      <c r="G294" s="4"/>
      <c r="H294" s="77">
        <v>3548.47</v>
      </c>
      <c r="I294" s="14"/>
      <c r="J294" s="28">
        <v>3667.09</v>
      </c>
      <c r="K294" s="14"/>
      <c r="L294" s="28">
        <f>901.92+300.64+300.64</f>
        <v>1503.1999999999998</v>
      </c>
      <c r="M294" s="4"/>
    </row>
    <row r="295" spans="1:13" ht="51" x14ac:dyDescent="0.2">
      <c r="A295" s="92" t="s">
        <v>67</v>
      </c>
      <c r="B295" s="63" t="s">
        <v>444</v>
      </c>
      <c r="C295" s="163" t="s">
        <v>214</v>
      </c>
      <c r="D295" s="45" t="s">
        <v>510</v>
      </c>
      <c r="E295" s="163" t="s">
        <v>590</v>
      </c>
      <c r="F295" s="29">
        <v>223</v>
      </c>
      <c r="G295" s="4"/>
      <c r="H295" s="77">
        <v>3491.78</v>
      </c>
      <c r="I295" s="14"/>
      <c r="J295" s="28">
        <v>3267.24</v>
      </c>
      <c r="K295" s="14"/>
      <c r="L295" s="28">
        <f>816.81+272.27+272.27</f>
        <v>1361.35</v>
      </c>
      <c r="M295" s="4"/>
    </row>
    <row r="296" spans="1:13" ht="63.75" x14ac:dyDescent="0.2">
      <c r="A296" s="92" t="s">
        <v>68</v>
      </c>
      <c r="B296" s="63" t="s">
        <v>445</v>
      </c>
      <c r="C296" s="163" t="s">
        <v>214</v>
      </c>
      <c r="D296" s="45" t="s">
        <v>510</v>
      </c>
      <c r="E296" s="29"/>
      <c r="F296" s="29">
        <v>223</v>
      </c>
      <c r="G296" s="4"/>
      <c r="H296" s="77">
        <v>31458.36</v>
      </c>
      <c r="I296" s="14"/>
      <c r="J296" s="28"/>
      <c r="K296" s="14"/>
      <c r="L296" s="28"/>
      <c r="M296" s="4"/>
    </row>
    <row r="297" spans="1:13" ht="33.75" x14ac:dyDescent="0.2">
      <c r="A297" s="92">
        <v>43</v>
      </c>
      <c r="B297" s="63" t="s">
        <v>616</v>
      </c>
      <c r="C297" s="163" t="s">
        <v>214</v>
      </c>
      <c r="D297" s="45" t="s">
        <v>526</v>
      </c>
      <c r="E297" s="163" t="s">
        <v>617</v>
      </c>
      <c r="F297" s="29">
        <v>225</v>
      </c>
      <c r="G297" s="4"/>
      <c r="H297" s="77">
        <v>44442.64</v>
      </c>
      <c r="I297" s="14"/>
      <c r="J297" s="28">
        <v>44442.64</v>
      </c>
      <c r="K297" s="14"/>
      <c r="L297" s="28">
        <v>44442.64</v>
      </c>
      <c r="M297" s="4"/>
    </row>
    <row r="298" spans="1:13" ht="25.5" x14ac:dyDescent="0.2">
      <c r="A298" s="92">
        <v>44</v>
      </c>
      <c r="B298" s="63" t="s">
        <v>618</v>
      </c>
      <c r="C298" s="163"/>
      <c r="D298" s="45"/>
      <c r="E298" s="29"/>
      <c r="F298" s="29">
        <v>310</v>
      </c>
      <c r="G298" s="4"/>
      <c r="H298" s="77">
        <v>50000</v>
      </c>
      <c r="I298" s="14"/>
      <c r="J298" s="28"/>
      <c r="K298" s="14"/>
      <c r="L298" s="28"/>
      <c r="M298" s="4"/>
    </row>
    <row r="299" spans="1:13" ht="51" x14ac:dyDescent="0.2">
      <c r="A299" s="92">
        <v>45</v>
      </c>
      <c r="B299" s="63" t="s">
        <v>619</v>
      </c>
      <c r="C299" s="163"/>
      <c r="D299" s="45"/>
      <c r="E299" s="29"/>
      <c r="F299" s="29">
        <v>225</v>
      </c>
      <c r="G299" s="4"/>
      <c r="H299" s="77">
        <v>500000</v>
      </c>
      <c r="I299" s="14"/>
      <c r="J299" s="28"/>
      <c r="K299" s="14"/>
      <c r="L299" s="28"/>
      <c r="M299" s="4"/>
    </row>
    <row r="300" spans="1:13" ht="76.5" x14ac:dyDescent="0.2">
      <c r="A300" s="92">
        <v>46</v>
      </c>
      <c r="B300" s="63" t="s">
        <v>632</v>
      </c>
      <c r="C300" s="163"/>
      <c r="D300" s="45"/>
      <c r="E300" s="29"/>
      <c r="F300" s="29">
        <v>225</v>
      </c>
      <c r="G300" s="4"/>
      <c r="H300" s="77">
        <v>19800</v>
      </c>
      <c r="I300" s="14"/>
      <c r="J300" s="28"/>
      <c r="K300" s="14"/>
      <c r="L300" s="28"/>
      <c r="M300" s="4"/>
    </row>
    <row r="301" spans="1:13" s="3" customFormat="1" ht="16.5" customHeight="1" thickBot="1" x14ac:dyDescent="0.25">
      <c r="A301" s="206"/>
      <c r="B301" s="190" t="s">
        <v>8</v>
      </c>
      <c r="C301" s="96"/>
      <c r="D301" s="97"/>
      <c r="E301" s="98"/>
      <c r="F301" s="98"/>
      <c r="G301" s="99"/>
      <c r="H301" s="207">
        <f>SUM(H249:H300)</f>
        <v>27002695.25</v>
      </c>
      <c r="I301" s="208"/>
      <c r="J301" s="209">
        <f>SUM(J249:J300)</f>
        <v>12292877.939999999</v>
      </c>
      <c r="K301" s="208"/>
      <c r="L301" s="210">
        <f>SUM(L249:L300)</f>
        <v>10377399.450000001</v>
      </c>
      <c r="M301" s="99"/>
    </row>
    <row r="302" spans="1:13" ht="25.5" x14ac:dyDescent="0.2">
      <c r="A302" s="100" t="s">
        <v>446</v>
      </c>
      <c r="B302" s="84" t="s">
        <v>213</v>
      </c>
      <c r="C302" s="51"/>
      <c r="D302" s="60"/>
      <c r="E302" s="56"/>
      <c r="F302" s="56"/>
      <c r="G302" s="32"/>
      <c r="H302" s="57"/>
      <c r="I302" s="61"/>
      <c r="J302" s="57"/>
      <c r="K302" s="61"/>
      <c r="L302" s="57"/>
      <c r="M302" s="32"/>
    </row>
    <row r="303" spans="1:13" ht="63.75" x14ac:dyDescent="0.2">
      <c r="A303" s="52" t="s">
        <v>165</v>
      </c>
      <c r="B303" s="63" t="s">
        <v>447</v>
      </c>
      <c r="C303" s="44"/>
      <c r="D303" s="45"/>
      <c r="E303" s="163"/>
      <c r="F303" s="163"/>
      <c r="G303" s="4"/>
      <c r="H303" s="73">
        <v>2775038</v>
      </c>
      <c r="I303" s="101"/>
      <c r="J303" s="28">
        <v>741439.74</v>
      </c>
      <c r="K303" s="14"/>
      <c r="L303" s="28">
        <f>J303</f>
        <v>741439.74</v>
      </c>
      <c r="M303" s="4"/>
    </row>
    <row r="304" spans="1:13" s="3" customFormat="1" ht="51.75" thickBot="1" x14ac:dyDescent="0.25">
      <c r="A304" s="67" t="s">
        <v>90</v>
      </c>
      <c r="B304" s="91" t="s">
        <v>448</v>
      </c>
      <c r="C304" s="96"/>
      <c r="D304" s="97"/>
      <c r="E304" s="98"/>
      <c r="F304" s="98"/>
      <c r="G304" s="99"/>
      <c r="H304" s="105">
        <v>838062</v>
      </c>
      <c r="I304" s="106"/>
      <c r="J304" s="211">
        <v>222563.34</v>
      </c>
      <c r="K304" s="156"/>
      <c r="L304" s="212">
        <f>J304</f>
        <v>222563.34</v>
      </c>
      <c r="M304" s="99"/>
    </row>
    <row r="305" spans="1:13" ht="21" customHeight="1" thickBot="1" x14ac:dyDescent="0.25">
      <c r="A305" s="213"/>
      <c r="B305" s="199" t="s">
        <v>8</v>
      </c>
      <c r="C305" s="214"/>
      <c r="D305" s="200"/>
      <c r="E305" s="180"/>
      <c r="F305" s="180"/>
      <c r="G305" s="215"/>
      <c r="H305" s="216">
        <f>SUM(H303:H304)</f>
        <v>3613100</v>
      </c>
      <c r="I305" s="203"/>
      <c r="J305" s="217">
        <f>SUM(J303:J304)</f>
        <v>964003.08</v>
      </c>
      <c r="K305" s="203"/>
      <c r="L305" s="205">
        <f>SUM(L303:L304)</f>
        <v>964003.08</v>
      </c>
      <c r="M305" s="201"/>
    </row>
    <row r="306" spans="1:13" ht="25.5" x14ac:dyDescent="0.2">
      <c r="A306" s="100" t="s">
        <v>449</v>
      </c>
      <c r="B306" s="84" t="s">
        <v>450</v>
      </c>
      <c r="C306" s="56"/>
      <c r="D306" s="60"/>
      <c r="E306" s="58"/>
      <c r="F306" s="58"/>
      <c r="G306" s="102"/>
      <c r="H306" s="103"/>
      <c r="I306" s="61"/>
      <c r="J306" s="218"/>
      <c r="K306" s="61"/>
      <c r="L306" s="57"/>
      <c r="M306" s="32"/>
    </row>
    <row r="307" spans="1:13" ht="51" x14ac:dyDescent="0.2">
      <c r="A307" s="52" t="s">
        <v>12</v>
      </c>
      <c r="B307" s="63" t="s">
        <v>451</v>
      </c>
      <c r="C307" s="163"/>
      <c r="D307" s="45"/>
      <c r="E307" s="29"/>
      <c r="F307" s="29"/>
      <c r="G307" s="73">
        <v>2775038</v>
      </c>
      <c r="H307" s="168"/>
      <c r="I307" s="169">
        <v>743232.04</v>
      </c>
      <c r="J307" s="28"/>
      <c r="K307" s="28">
        <f>I307</f>
        <v>743232.04</v>
      </c>
      <c r="L307" s="28"/>
      <c r="M307" s="4"/>
    </row>
    <row r="308" spans="1:13" ht="39" thickBot="1" x14ac:dyDescent="0.25">
      <c r="A308" s="67" t="s">
        <v>168</v>
      </c>
      <c r="B308" s="91" t="s">
        <v>452</v>
      </c>
      <c r="C308" s="30"/>
      <c r="D308" s="46"/>
      <c r="E308" s="12"/>
      <c r="F308" s="12"/>
      <c r="G308" s="88">
        <v>838062</v>
      </c>
      <c r="H308" s="172"/>
      <c r="I308" s="170">
        <v>224444.5</v>
      </c>
      <c r="K308" s="171">
        <f>I308</f>
        <v>224444.5</v>
      </c>
      <c r="M308" s="11"/>
    </row>
    <row r="309" spans="1:13" ht="21" customHeight="1" thickBot="1" x14ac:dyDescent="0.25">
      <c r="A309" s="213"/>
      <c r="B309" s="199" t="s">
        <v>8</v>
      </c>
      <c r="C309" s="180"/>
      <c r="D309" s="200"/>
      <c r="E309" s="179"/>
      <c r="F309" s="179"/>
      <c r="G309" s="202">
        <f>SUM(G307:G308)</f>
        <v>3613100</v>
      </c>
      <c r="H309" s="219"/>
      <c r="I309" s="204">
        <f>SUM(I307:I308)</f>
        <v>967676.54</v>
      </c>
      <c r="J309" s="217"/>
      <c r="K309" s="204">
        <f>SUM(K307:K308)</f>
        <v>967676.54</v>
      </c>
      <c r="L309" s="205"/>
      <c r="M309" s="201"/>
    </row>
    <row r="310" spans="1:13" ht="38.25" x14ac:dyDescent="0.2">
      <c r="A310" s="94" t="s">
        <v>453</v>
      </c>
      <c r="B310" s="62" t="s">
        <v>454</v>
      </c>
      <c r="C310" s="51"/>
      <c r="D310" s="60"/>
      <c r="E310" s="56"/>
      <c r="F310" s="56"/>
      <c r="G310" s="32"/>
      <c r="H310" s="57"/>
      <c r="I310" s="61"/>
      <c r="J310" s="57"/>
      <c r="K310" s="61"/>
      <c r="L310" s="57"/>
      <c r="M310" s="32"/>
    </row>
    <row r="311" spans="1:13" s="3" customFormat="1" ht="25.5" x14ac:dyDescent="0.2">
      <c r="A311" s="52">
        <v>1</v>
      </c>
      <c r="B311" s="62" t="s">
        <v>86</v>
      </c>
      <c r="C311" s="26"/>
      <c r="D311" s="37"/>
      <c r="E311" s="37"/>
      <c r="F311" s="37"/>
      <c r="G311" s="36"/>
      <c r="H311" s="72">
        <f>SUM(H312:H317)</f>
        <v>52135</v>
      </c>
      <c r="I311" s="39"/>
      <c r="J311" s="38"/>
      <c r="K311" s="39"/>
      <c r="L311" s="38"/>
      <c r="M311" s="36"/>
    </row>
    <row r="312" spans="1:13" ht="22.5" x14ac:dyDescent="0.2">
      <c r="A312" s="10" t="s">
        <v>165</v>
      </c>
      <c r="B312" s="63" t="s">
        <v>72</v>
      </c>
      <c r="C312" s="151"/>
      <c r="D312" s="29"/>
      <c r="E312" s="163" t="s">
        <v>591</v>
      </c>
      <c r="F312" s="29" t="s">
        <v>611</v>
      </c>
      <c r="G312" s="4"/>
      <c r="H312" s="73">
        <f>42*700</f>
        <v>29400</v>
      </c>
      <c r="I312" s="14"/>
      <c r="J312" s="28">
        <f>10*1000+38*500</f>
        <v>29000</v>
      </c>
      <c r="K312" s="14"/>
      <c r="L312" s="28">
        <v>29000</v>
      </c>
      <c r="M312" s="4"/>
    </row>
    <row r="313" spans="1:13" ht="33.75" x14ac:dyDescent="0.2">
      <c r="A313" s="10" t="s">
        <v>12</v>
      </c>
      <c r="B313" s="63" t="s">
        <v>71</v>
      </c>
      <c r="C313" s="163" t="s">
        <v>511</v>
      </c>
      <c r="D313" s="45" t="s">
        <v>215</v>
      </c>
      <c r="E313" s="163" t="s">
        <v>553</v>
      </c>
      <c r="F313" s="29" t="s">
        <v>602</v>
      </c>
      <c r="G313" s="4"/>
      <c r="H313" s="73">
        <v>3000</v>
      </c>
      <c r="I313" s="155"/>
      <c r="J313" s="166">
        <v>1141.5</v>
      </c>
      <c r="K313" s="155"/>
      <c r="L313" s="166">
        <v>1141.5</v>
      </c>
      <c r="M313" s="41"/>
    </row>
    <row r="314" spans="1:13" s="2" customFormat="1" ht="33.75" x14ac:dyDescent="0.2">
      <c r="A314" s="10" t="s">
        <v>14</v>
      </c>
      <c r="B314" s="63" t="s">
        <v>597</v>
      </c>
      <c r="C314" s="163" t="s">
        <v>512</v>
      </c>
      <c r="D314" s="45" t="s">
        <v>510</v>
      </c>
      <c r="E314" s="163" t="s">
        <v>573</v>
      </c>
      <c r="F314" s="29" t="s">
        <v>611</v>
      </c>
      <c r="G314" s="41"/>
      <c r="H314" s="73">
        <f>33*125</f>
        <v>4125</v>
      </c>
      <c r="I314" s="155"/>
      <c r="J314" s="166">
        <f>33*56.75</f>
        <v>1872.75</v>
      </c>
      <c r="K314" s="155"/>
      <c r="L314" s="166">
        <f>J314</f>
        <v>1872.75</v>
      </c>
      <c r="M314" s="41"/>
    </row>
    <row r="315" spans="1:13" s="2" customFormat="1" ht="25.5" x14ac:dyDescent="0.2">
      <c r="A315" s="10" t="s">
        <v>16</v>
      </c>
      <c r="B315" s="63" t="s">
        <v>596</v>
      </c>
      <c r="C315" s="163" t="s">
        <v>512</v>
      </c>
      <c r="D315" s="45" t="s">
        <v>510</v>
      </c>
      <c r="E315" s="163" t="s">
        <v>592</v>
      </c>
      <c r="F315" s="29" t="s">
        <v>611</v>
      </c>
      <c r="G315" s="41"/>
      <c r="H315" s="73">
        <f>(42+20)*30</f>
        <v>1860</v>
      </c>
      <c r="I315" s="155"/>
      <c r="J315" s="166">
        <f>42*7.95</f>
        <v>333.90000000000003</v>
      </c>
      <c r="K315" s="155"/>
      <c r="L315" s="166">
        <f>J315</f>
        <v>333.90000000000003</v>
      </c>
      <c r="M315" s="41"/>
    </row>
    <row r="316" spans="1:13" ht="45" x14ac:dyDescent="0.2">
      <c r="A316" s="10" t="s">
        <v>166</v>
      </c>
      <c r="B316" s="63" t="s">
        <v>45</v>
      </c>
      <c r="C316" s="44" t="s">
        <v>214</v>
      </c>
      <c r="D316" s="45" t="s">
        <v>215</v>
      </c>
      <c r="E316" s="163" t="s">
        <v>529</v>
      </c>
      <c r="F316" s="29" t="s">
        <v>609</v>
      </c>
      <c r="G316" s="41"/>
      <c r="H316" s="73">
        <f>1*1500</f>
        <v>1500</v>
      </c>
      <c r="I316" s="155"/>
      <c r="J316" s="166">
        <v>1320</v>
      </c>
      <c r="K316" s="155"/>
      <c r="L316" s="166"/>
      <c r="M316" s="41"/>
    </row>
    <row r="317" spans="1:13" ht="33.75" x14ac:dyDescent="0.2">
      <c r="A317" s="10" t="s">
        <v>167</v>
      </c>
      <c r="B317" s="63" t="s">
        <v>27</v>
      </c>
      <c r="C317" s="163" t="s">
        <v>214</v>
      </c>
      <c r="D317" s="45" t="s">
        <v>215</v>
      </c>
      <c r="E317" s="163" t="s">
        <v>552</v>
      </c>
      <c r="F317" s="29" t="s">
        <v>609</v>
      </c>
      <c r="G317" s="41"/>
      <c r="H317" s="73">
        <v>12250</v>
      </c>
      <c r="I317" s="155"/>
      <c r="J317" s="166">
        <v>12250</v>
      </c>
      <c r="K317" s="155"/>
      <c r="L317" s="166">
        <v>12250</v>
      </c>
      <c r="M317" s="41"/>
    </row>
    <row r="318" spans="1:13" ht="25.5" x14ac:dyDescent="0.2">
      <c r="A318" s="52">
        <v>2</v>
      </c>
      <c r="B318" s="62" t="s">
        <v>87</v>
      </c>
      <c r="C318" s="151"/>
      <c r="D318" s="29"/>
      <c r="E318" s="29"/>
      <c r="F318" s="29"/>
      <c r="G318" s="4"/>
      <c r="H318" s="72">
        <f>H319</f>
        <v>25000</v>
      </c>
      <c r="I318" s="14"/>
      <c r="J318" s="38"/>
      <c r="K318" s="14"/>
      <c r="L318" s="38"/>
      <c r="M318" s="4"/>
    </row>
    <row r="319" spans="1:13" x14ac:dyDescent="0.2">
      <c r="A319" s="64" t="s">
        <v>19</v>
      </c>
      <c r="B319" s="63" t="s">
        <v>22</v>
      </c>
      <c r="C319" s="163"/>
      <c r="D319" s="45"/>
      <c r="E319" s="163"/>
      <c r="F319" s="29" t="s">
        <v>609</v>
      </c>
      <c r="G319" s="4"/>
      <c r="H319" s="73">
        <v>25000</v>
      </c>
      <c r="I319" s="14"/>
      <c r="J319" s="28"/>
      <c r="K319" s="14"/>
      <c r="L319" s="28"/>
      <c r="M319" s="4"/>
    </row>
    <row r="320" spans="1:13" ht="25.5" x14ac:dyDescent="0.2">
      <c r="A320" s="52">
        <v>3</v>
      </c>
      <c r="B320" s="62" t="s">
        <v>88</v>
      </c>
      <c r="C320" s="163"/>
      <c r="D320" s="45"/>
      <c r="E320" s="163"/>
      <c r="F320" s="163"/>
      <c r="G320" s="4"/>
      <c r="H320" s="72">
        <f>SUM(H321:H326)</f>
        <v>52135</v>
      </c>
      <c r="I320" s="14"/>
      <c r="J320" s="28"/>
      <c r="K320" s="14"/>
      <c r="L320" s="28"/>
      <c r="M320" s="40"/>
    </row>
    <row r="321" spans="1:14" s="2" customFormat="1" ht="22.5" x14ac:dyDescent="0.2">
      <c r="A321" s="10" t="s">
        <v>90</v>
      </c>
      <c r="B321" s="63" t="s">
        <v>72</v>
      </c>
      <c r="C321" s="165"/>
      <c r="D321" s="45"/>
      <c r="E321" s="163" t="s">
        <v>594</v>
      </c>
      <c r="F321" s="29" t="s">
        <v>611</v>
      </c>
      <c r="G321" s="41"/>
      <c r="H321" s="73">
        <f>42*700</f>
        <v>29400</v>
      </c>
      <c r="I321" s="155"/>
      <c r="J321" s="166">
        <f>10*1000+38*500</f>
        <v>29000</v>
      </c>
      <c r="K321" s="155"/>
      <c r="L321" s="166">
        <f>J321</f>
        <v>29000</v>
      </c>
      <c r="M321" s="41"/>
    </row>
    <row r="322" spans="1:14" ht="33.75" x14ac:dyDescent="0.2">
      <c r="A322" s="10" t="s">
        <v>168</v>
      </c>
      <c r="B322" s="63" t="s">
        <v>71</v>
      </c>
      <c r="C322" s="163" t="s">
        <v>511</v>
      </c>
      <c r="D322" s="45" t="s">
        <v>215</v>
      </c>
      <c r="E322" s="163" t="s">
        <v>553</v>
      </c>
      <c r="F322" s="29" t="s">
        <v>602</v>
      </c>
      <c r="G322" s="4"/>
      <c r="H322" s="73">
        <v>3000</v>
      </c>
      <c r="I322" s="155"/>
      <c r="J322" s="166">
        <v>1141.5</v>
      </c>
      <c r="K322" s="155"/>
      <c r="L322" s="166">
        <v>1141.5</v>
      </c>
      <c r="M322" s="41"/>
    </row>
    <row r="323" spans="1:14" s="2" customFormat="1" ht="33.75" x14ac:dyDescent="0.2">
      <c r="A323" s="10" t="s">
        <v>169</v>
      </c>
      <c r="B323" s="63" t="s">
        <v>597</v>
      </c>
      <c r="C323" s="163" t="s">
        <v>512</v>
      </c>
      <c r="D323" s="45" t="s">
        <v>510</v>
      </c>
      <c r="E323" s="163" t="s">
        <v>573</v>
      </c>
      <c r="F323" s="29" t="s">
        <v>611</v>
      </c>
      <c r="G323" s="41"/>
      <c r="H323" s="73">
        <f>33*125</f>
        <v>4125</v>
      </c>
      <c r="I323" s="155"/>
      <c r="J323" s="166">
        <f>33*56.75</f>
        <v>1872.75</v>
      </c>
      <c r="K323" s="155"/>
      <c r="L323" s="166">
        <f>J323</f>
        <v>1872.75</v>
      </c>
      <c r="M323" s="41"/>
    </row>
    <row r="324" spans="1:14" ht="25.5" x14ac:dyDescent="0.2">
      <c r="A324" s="10" t="s">
        <v>170</v>
      </c>
      <c r="B324" s="63" t="s">
        <v>596</v>
      </c>
      <c r="C324" s="163" t="s">
        <v>512</v>
      </c>
      <c r="D324" s="45" t="s">
        <v>510</v>
      </c>
      <c r="E324" s="163" t="s">
        <v>592</v>
      </c>
      <c r="F324" s="29" t="s">
        <v>611</v>
      </c>
      <c r="G324" s="4"/>
      <c r="H324" s="73">
        <f>(42+20)*30</f>
        <v>1860</v>
      </c>
      <c r="I324" s="14"/>
      <c r="J324" s="28">
        <f>42*7.95</f>
        <v>333.90000000000003</v>
      </c>
      <c r="K324" s="14"/>
      <c r="L324" s="28">
        <f>J324</f>
        <v>333.90000000000003</v>
      </c>
      <c r="M324" s="4"/>
    </row>
    <row r="325" spans="1:14" ht="45" x14ac:dyDescent="0.2">
      <c r="A325" s="10" t="s">
        <v>171</v>
      </c>
      <c r="B325" s="63" t="s">
        <v>45</v>
      </c>
      <c r="C325" s="44" t="s">
        <v>214</v>
      </c>
      <c r="D325" s="45" t="s">
        <v>215</v>
      </c>
      <c r="E325" s="163" t="s">
        <v>529</v>
      </c>
      <c r="F325" s="29" t="s">
        <v>609</v>
      </c>
      <c r="G325" s="4"/>
      <c r="H325" s="73">
        <f>1*1500</f>
        <v>1500</v>
      </c>
      <c r="I325" s="14"/>
      <c r="J325" s="28">
        <v>1320</v>
      </c>
      <c r="K325" s="14"/>
      <c r="L325" s="28">
        <v>1320</v>
      </c>
      <c r="M325" s="4"/>
    </row>
    <row r="326" spans="1:14" ht="33.75" x14ac:dyDescent="0.2">
      <c r="A326" s="10" t="s">
        <v>172</v>
      </c>
      <c r="B326" s="63" t="s">
        <v>27</v>
      </c>
      <c r="C326" s="163" t="s">
        <v>531</v>
      </c>
      <c r="D326" s="45" t="s">
        <v>215</v>
      </c>
      <c r="E326" s="163" t="s">
        <v>532</v>
      </c>
      <c r="F326" s="29" t="s">
        <v>609</v>
      </c>
      <c r="G326" s="4"/>
      <c r="H326" s="73">
        <v>12250</v>
      </c>
      <c r="I326" s="14"/>
      <c r="J326" s="28">
        <v>9425</v>
      </c>
      <c r="K326" s="14"/>
      <c r="L326" s="28"/>
      <c r="M326" s="4"/>
    </row>
    <row r="327" spans="1:14" ht="45" customHeight="1" x14ac:dyDescent="0.2">
      <c r="A327" s="52" t="s">
        <v>1</v>
      </c>
      <c r="B327" s="62" t="s">
        <v>89</v>
      </c>
      <c r="C327" s="151"/>
      <c r="D327" s="29"/>
      <c r="E327" s="163"/>
      <c r="F327" s="163"/>
      <c r="G327" s="4"/>
      <c r="H327" s="72">
        <f>H328+H329</f>
        <v>930</v>
      </c>
      <c r="I327" s="14"/>
      <c r="J327" s="38"/>
      <c r="K327" s="14"/>
      <c r="L327" s="38"/>
      <c r="M327" s="4"/>
    </row>
    <row r="328" spans="1:14" ht="25.5" x14ac:dyDescent="0.2">
      <c r="A328" s="10" t="s">
        <v>92</v>
      </c>
      <c r="B328" s="63" t="s">
        <v>596</v>
      </c>
      <c r="C328" s="163" t="s">
        <v>512</v>
      </c>
      <c r="D328" s="45" t="s">
        <v>510</v>
      </c>
      <c r="E328" s="163" t="s">
        <v>592</v>
      </c>
      <c r="F328" s="29" t="s">
        <v>611</v>
      </c>
      <c r="G328" s="4"/>
      <c r="H328" s="73">
        <f>6*30</f>
        <v>180</v>
      </c>
      <c r="I328" s="14"/>
      <c r="J328" s="28">
        <f>6*7.95</f>
        <v>47.7</v>
      </c>
      <c r="K328" s="14"/>
      <c r="L328" s="28">
        <f>J328</f>
        <v>47.7</v>
      </c>
      <c r="M328" s="4"/>
    </row>
    <row r="329" spans="1:14" ht="33.75" x14ac:dyDescent="0.2">
      <c r="A329" s="10" t="s">
        <v>173</v>
      </c>
      <c r="B329" s="63" t="s">
        <v>597</v>
      </c>
      <c r="C329" s="163" t="s">
        <v>512</v>
      </c>
      <c r="D329" s="45" t="s">
        <v>510</v>
      </c>
      <c r="E329" s="163" t="s">
        <v>573</v>
      </c>
      <c r="F329" s="29" t="s">
        <v>611</v>
      </c>
      <c r="G329" s="4"/>
      <c r="H329" s="73">
        <f>6*125</f>
        <v>750</v>
      </c>
      <c r="I329" s="14"/>
      <c r="J329" s="28">
        <f>5*56.85+56.84</f>
        <v>341.09000000000003</v>
      </c>
      <c r="K329" s="14"/>
      <c r="L329" s="28">
        <f>J329</f>
        <v>341.09000000000003</v>
      </c>
      <c r="M329" s="4"/>
    </row>
    <row r="330" spans="1:14" ht="25.5" x14ac:dyDescent="0.2">
      <c r="A330" s="52" t="s">
        <v>2</v>
      </c>
      <c r="B330" s="62" t="s">
        <v>91</v>
      </c>
      <c r="C330" s="163"/>
      <c r="D330" s="45"/>
      <c r="E330" s="163"/>
      <c r="F330" s="163"/>
      <c r="G330" s="4"/>
      <c r="H330" s="72">
        <f>H331+H332</f>
        <v>4380</v>
      </c>
      <c r="I330" s="14"/>
      <c r="J330" s="28"/>
      <c r="K330" s="14"/>
      <c r="L330" s="28"/>
      <c r="M330" s="4"/>
    </row>
    <row r="331" spans="1:14" ht="33.75" x14ac:dyDescent="0.2">
      <c r="A331" s="10" t="s">
        <v>174</v>
      </c>
      <c r="B331" s="63" t="s">
        <v>72</v>
      </c>
      <c r="C331" s="163" t="s">
        <v>521</v>
      </c>
      <c r="D331" s="45" t="s">
        <v>510</v>
      </c>
      <c r="E331" s="163" t="s">
        <v>593</v>
      </c>
      <c r="F331" s="29" t="s">
        <v>611</v>
      </c>
      <c r="G331" s="4"/>
      <c r="H331" s="73">
        <f>6*700</f>
        <v>4200</v>
      </c>
      <c r="I331" s="14"/>
      <c r="J331" s="28">
        <f>8*500</f>
        <v>4000</v>
      </c>
      <c r="K331" s="14"/>
      <c r="L331" s="28">
        <f>J331</f>
        <v>4000</v>
      </c>
      <c r="M331" s="4"/>
    </row>
    <row r="332" spans="1:14" ht="25.5" x14ac:dyDescent="0.2">
      <c r="A332" s="10" t="s">
        <v>175</v>
      </c>
      <c r="B332" s="63" t="s">
        <v>596</v>
      </c>
      <c r="C332" s="163" t="s">
        <v>512</v>
      </c>
      <c r="D332" s="45" t="s">
        <v>510</v>
      </c>
      <c r="E332" s="163" t="s">
        <v>592</v>
      </c>
      <c r="F332" s="29" t="s">
        <v>611</v>
      </c>
      <c r="G332" s="4"/>
      <c r="H332" s="73">
        <f>6*30</f>
        <v>180</v>
      </c>
      <c r="I332" s="14"/>
      <c r="J332" s="28">
        <f>6*7.95</f>
        <v>47.7</v>
      </c>
      <c r="K332" s="14"/>
      <c r="L332" s="28">
        <f>J332</f>
        <v>47.7</v>
      </c>
      <c r="M332" s="4"/>
    </row>
    <row r="333" spans="1:14" ht="38.25" x14ac:dyDescent="0.2">
      <c r="A333" s="52" t="s">
        <v>3</v>
      </c>
      <c r="B333" s="62" t="s">
        <v>94</v>
      </c>
      <c r="C333" s="163"/>
      <c r="D333" s="45"/>
      <c r="E333" s="163"/>
      <c r="F333" s="163"/>
      <c r="G333" s="4"/>
      <c r="H333" s="72">
        <f>H334+H335</f>
        <v>13140</v>
      </c>
      <c r="I333" s="14"/>
      <c r="J333" s="28"/>
      <c r="K333" s="14"/>
      <c r="L333" s="28"/>
      <c r="M333" s="4"/>
      <c r="N333" s="42"/>
    </row>
    <row r="334" spans="1:14" s="2" customFormat="1" ht="33.75" x14ac:dyDescent="0.2">
      <c r="A334" s="10" t="s">
        <v>25</v>
      </c>
      <c r="B334" s="63" t="s">
        <v>72</v>
      </c>
      <c r="C334" s="163" t="s">
        <v>521</v>
      </c>
      <c r="D334" s="45" t="s">
        <v>510</v>
      </c>
      <c r="E334" s="163" t="s">
        <v>593</v>
      </c>
      <c r="F334" s="29" t="s">
        <v>611</v>
      </c>
      <c r="G334" s="41"/>
      <c r="H334" s="73">
        <f>18*700</f>
        <v>12600</v>
      </c>
      <c r="I334" s="155"/>
      <c r="J334" s="166">
        <f>18*500</f>
        <v>9000</v>
      </c>
      <c r="K334" s="155"/>
      <c r="L334" s="166">
        <f>J334</f>
        <v>9000</v>
      </c>
      <c r="M334" s="41"/>
    </row>
    <row r="335" spans="1:14" s="2" customFormat="1" ht="25.5" x14ac:dyDescent="0.2">
      <c r="A335" s="10" t="s">
        <v>418</v>
      </c>
      <c r="B335" s="63" t="s">
        <v>596</v>
      </c>
      <c r="C335" s="163" t="s">
        <v>512</v>
      </c>
      <c r="D335" s="45" t="s">
        <v>510</v>
      </c>
      <c r="E335" s="163" t="s">
        <v>592</v>
      </c>
      <c r="F335" s="29" t="s">
        <v>611</v>
      </c>
      <c r="G335" s="41"/>
      <c r="H335" s="73">
        <f>18*30</f>
        <v>540</v>
      </c>
      <c r="I335" s="155"/>
      <c r="J335" s="166">
        <f>18*7.95</f>
        <v>143.1</v>
      </c>
      <c r="K335" s="155"/>
      <c r="L335" s="166">
        <f>J335</f>
        <v>143.1</v>
      </c>
      <c r="M335" s="41"/>
    </row>
    <row r="336" spans="1:14" ht="25.5" x14ac:dyDescent="0.2">
      <c r="A336" s="52" t="s">
        <v>161</v>
      </c>
      <c r="B336" s="62" t="s">
        <v>93</v>
      </c>
      <c r="C336" s="163"/>
      <c r="D336" s="45"/>
      <c r="E336" s="163"/>
      <c r="F336" s="163"/>
      <c r="G336" s="4"/>
      <c r="H336" s="72">
        <f>H337+H338+H339+H340+H341+H342+H343</f>
        <v>77050</v>
      </c>
      <c r="I336" s="14"/>
      <c r="J336" s="38"/>
      <c r="K336" s="14"/>
      <c r="L336" s="38"/>
      <c r="M336" s="4"/>
    </row>
    <row r="337" spans="1:14" s="2" customFormat="1" ht="22.5" x14ac:dyDescent="0.2">
      <c r="A337" s="10" t="s">
        <v>236</v>
      </c>
      <c r="B337" s="63" t="s">
        <v>72</v>
      </c>
      <c r="C337" s="163"/>
      <c r="D337" s="45"/>
      <c r="E337" s="163" t="s">
        <v>594</v>
      </c>
      <c r="F337" s="29" t="s">
        <v>611</v>
      </c>
      <c r="G337" s="41"/>
      <c r="H337" s="73">
        <f>60*700</f>
        <v>42000</v>
      </c>
      <c r="I337" s="155"/>
      <c r="J337" s="166">
        <f>25*1000+34*500</f>
        <v>42000</v>
      </c>
      <c r="K337" s="155"/>
      <c r="L337" s="166">
        <f>J337</f>
        <v>42000</v>
      </c>
      <c r="M337" s="41"/>
    </row>
    <row r="338" spans="1:14" ht="33.75" x14ac:dyDescent="0.2">
      <c r="A338" s="10" t="s">
        <v>237</v>
      </c>
      <c r="B338" s="63" t="s">
        <v>71</v>
      </c>
      <c r="C338" s="163" t="s">
        <v>511</v>
      </c>
      <c r="D338" s="45" t="s">
        <v>215</v>
      </c>
      <c r="E338" s="163" t="s">
        <v>553</v>
      </c>
      <c r="F338" s="29" t="s">
        <v>602</v>
      </c>
      <c r="G338" s="4"/>
      <c r="H338" s="73">
        <v>3000</v>
      </c>
      <c r="I338" s="155"/>
      <c r="J338" s="166">
        <v>1141.5</v>
      </c>
      <c r="K338" s="155"/>
      <c r="L338" s="166">
        <v>1141.5</v>
      </c>
      <c r="M338" s="4"/>
    </row>
    <row r="339" spans="1:14" ht="33.75" x14ac:dyDescent="0.2">
      <c r="A339" s="10" t="s">
        <v>238</v>
      </c>
      <c r="B339" s="63" t="s">
        <v>597</v>
      </c>
      <c r="C339" s="163" t="s">
        <v>512</v>
      </c>
      <c r="D339" s="45" t="s">
        <v>510</v>
      </c>
      <c r="E339" s="163" t="s">
        <v>573</v>
      </c>
      <c r="F339" s="29" t="s">
        <v>611</v>
      </c>
      <c r="G339" s="4"/>
      <c r="H339" s="73">
        <f>60*125</f>
        <v>7500</v>
      </c>
      <c r="I339" s="14"/>
      <c r="J339" s="166">
        <f>60*56.75</f>
        <v>3405</v>
      </c>
      <c r="K339" s="14"/>
      <c r="L339" s="28">
        <f>J339</f>
        <v>3405</v>
      </c>
      <c r="M339" s="4"/>
    </row>
    <row r="340" spans="1:14" ht="25.5" x14ac:dyDescent="0.2">
      <c r="A340" s="10" t="s">
        <v>239</v>
      </c>
      <c r="B340" s="63" t="s">
        <v>596</v>
      </c>
      <c r="C340" s="163" t="s">
        <v>512</v>
      </c>
      <c r="D340" s="45" t="s">
        <v>510</v>
      </c>
      <c r="E340" s="163" t="s">
        <v>592</v>
      </c>
      <c r="F340" s="29" t="s">
        <v>611</v>
      </c>
      <c r="G340" s="4"/>
      <c r="H340" s="73">
        <f>60*30</f>
        <v>1800</v>
      </c>
      <c r="I340" s="14"/>
      <c r="J340" s="28">
        <f>60*7.95</f>
        <v>477</v>
      </c>
      <c r="K340" s="14"/>
      <c r="L340" s="28">
        <f>J340</f>
        <v>477</v>
      </c>
      <c r="M340" s="4"/>
    </row>
    <row r="341" spans="1:14" s="2" customFormat="1" ht="25.5" x14ac:dyDescent="0.2">
      <c r="A341" s="10" t="s">
        <v>455</v>
      </c>
      <c r="B341" s="63" t="s">
        <v>231</v>
      </c>
      <c r="C341" s="163" t="s">
        <v>512</v>
      </c>
      <c r="D341" s="45" t="s">
        <v>510</v>
      </c>
      <c r="E341" s="163" t="s">
        <v>592</v>
      </c>
      <c r="F341" s="29" t="s">
        <v>611</v>
      </c>
      <c r="G341" s="41"/>
      <c r="H341" s="73">
        <f>18*500</f>
        <v>9000</v>
      </c>
      <c r="I341" s="155"/>
      <c r="J341" s="166">
        <f>14*130.33</f>
        <v>1824.6200000000001</v>
      </c>
      <c r="K341" s="155"/>
      <c r="L341" s="166">
        <f>J341</f>
        <v>1824.6200000000001</v>
      </c>
      <c r="M341" s="41"/>
    </row>
    <row r="342" spans="1:14" ht="45" x14ac:dyDescent="0.2">
      <c r="A342" s="10" t="s">
        <v>456</v>
      </c>
      <c r="B342" s="63" t="s">
        <v>45</v>
      </c>
      <c r="C342" s="44" t="s">
        <v>214</v>
      </c>
      <c r="D342" s="45" t="s">
        <v>215</v>
      </c>
      <c r="E342" s="163" t="s">
        <v>529</v>
      </c>
      <c r="F342" s="29" t="s">
        <v>609</v>
      </c>
      <c r="G342" s="4"/>
      <c r="H342" s="73">
        <f>1*1500</f>
        <v>1500</v>
      </c>
      <c r="I342" s="155"/>
      <c r="J342" s="166">
        <v>1320</v>
      </c>
      <c r="K342" s="155"/>
      <c r="L342" s="166">
        <v>1320</v>
      </c>
      <c r="M342" s="41"/>
    </row>
    <row r="343" spans="1:14" ht="33.75" x14ac:dyDescent="0.2">
      <c r="A343" s="10" t="s">
        <v>457</v>
      </c>
      <c r="B343" s="63" t="s">
        <v>27</v>
      </c>
      <c r="C343" s="163" t="s">
        <v>531</v>
      </c>
      <c r="D343" s="45" t="s">
        <v>215</v>
      </c>
      <c r="E343" s="163" t="s">
        <v>532</v>
      </c>
      <c r="F343" s="29" t="s">
        <v>609</v>
      </c>
      <c r="G343" s="4"/>
      <c r="H343" s="73">
        <v>12250</v>
      </c>
      <c r="I343" s="155"/>
      <c r="J343" s="166">
        <v>9425</v>
      </c>
      <c r="K343" s="155"/>
      <c r="L343" s="166"/>
      <c r="M343" s="41"/>
      <c r="N343" s="42"/>
    </row>
    <row r="344" spans="1:14" ht="25.5" x14ac:dyDescent="0.2">
      <c r="A344" s="52" t="s">
        <v>28</v>
      </c>
      <c r="B344" s="62" t="s">
        <v>95</v>
      </c>
      <c r="C344" s="151"/>
      <c r="D344" s="29"/>
      <c r="E344" s="29"/>
      <c r="F344" s="29"/>
      <c r="G344" s="4"/>
      <c r="H344" s="72">
        <f>H345</f>
        <v>35000</v>
      </c>
      <c r="I344" s="14"/>
      <c r="J344" s="38"/>
      <c r="K344" s="14"/>
      <c r="L344" s="38"/>
      <c r="M344" s="4"/>
    </row>
    <row r="345" spans="1:14" ht="33.75" x14ac:dyDescent="0.2">
      <c r="A345" s="10" t="s">
        <v>7</v>
      </c>
      <c r="B345" s="63" t="s">
        <v>15</v>
      </c>
      <c r="C345" s="163"/>
      <c r="D345" s="45"/>
      <c r="E345" s="163" t="s">
        <v>595</v>
      </c>
      <c r="F345" s="163">
        <v>222</v>
      </c>
      <c r="G345" s="4"/>
      <c r="H345" s="73">
        <v>35000</v>
      </c>
      <c r="I345" s="14"/>
      <c r="J345" s="28">
        <v>35000</v>
      </c>
      <c r="K345" s="14"/>
      <c r="L345" s="28">
        <v>35000</v>
      </c>
      <c r="M345" s="4"/>
    </row>
    <row r="346" spans="1:14" ht="38.25" x14ac:dyDescent="0.2">
      <c r="A346" s="52" t="s">
        <v>30</v>
      </c>
      <c r="B346" s="62" t="s">
        <v>96</v>
      </c>
      <c r="C346" s="163"/>
      <c r="D346" s="45"/>
      <c r="E346" s="163"/>
      <c r="F346" s="163"/>
      <c r="G346" s="4"/>
      <c r="H346" s="72">
        <f>H347+H348</f>
        <v>13140</v>
      </c>
      <c r="I346" s="14"/>
      <c r="J346" s="28"/>
      <c r="K346" s="14"/>
      <c r="L346" s="28"/>
      <c r="M346" s="4"/>
    </row>
    <row r="347" spans="1:14" ht="33.75" x14ac:dyDescent="0.2">
      <c r="A347" s="10" t="s">
        <v>176</v>
      </c>
      <c r="B347" s="63" t="s">
        <v>72</v>
      </c>
      <c r="C347" s="163" t="s">
        <v>521</v>
      </c>
      <c r="D347" s="45" t="s">
        <v>510</v>
      </c>
      <c r="E347" s="163" t="s">
        <v>593</v>
      </c>
      <c r="F347" s="29" t="s">
        <v>611</v>
      </c>
      <c r="G347" s="4"/>
      <c r="H347" s="73">
        <f>18*700</f>
        <v>12600</v>
      </c>
      <c r="I347" s="14"/>
      <c r="J347" s="28">
        <f>18*500</f>
        <v>9000</v>
      </c>
      <c r="K347" s="14"/>
      <c r="L347" s="28">
        <f>J347</f>
        <v>9000</v>
      </c>
      <c r="M347" s="4"/>
    </row>
    <row r="348" spans="1:14" ht="25.5" x14ac:dyDescent="0.2">
      <c r="A348" s="10" t="s">
        <v>177</v>
      </c>
      <c r="B348" s="63" t="s">
        <v>596</v>
      </c>
      <c r="C348" s="163" t="s">
        <v>512</v>
      </c>
      <c r="D348" s="45" t="s">
        <v>510</v>
      </c>
      <c r="E348" s="163" t="s">
        <v>592</v>
      </c>
      <c r="F348" s="29" t="s">
        <v>611</v>
      </c>
      <c r="G348" s="4"/>
      <c r="H348" s="73">
        <f>18*30</f>
        <v>540</v>
      </c>
      <c r="I348" s="14"/>
      <c r="J348" s="28">
        <f>18*7.95</f>
        <v>143.1</v>
      </c>
      <c r="K348" s="14"/>
      <c r="L348" s="166">
        <f>J348</f>
        <v>143.1</v>
      </c>
      <c r="M348" s="4"/>
    </row>
    <row r="349" spans="1:14" ht="38.25" x14ac:dyDescent="0.2">
      <c r="A349" s="52" t="s">
        <v>33</v>
      </c>
      <c r="B349" s="62" t="s">
        <v>98</v>
      </c>
      <c r="C349" s="163"/>
      <c r="D349" s="45"/>
      <c r="E349" s="163"/>
      <c r="F349" s="163"/>
      <c r="G349" s="4"/>
      <c r="H349" s="72">
        <f>H350</f>
        <v>35000</v>
      </c>
      <c r="I349" s="14"/>
      <c r="J349" s="28"/>
      <c r="K349" s="14"/>
      <c r="L349" s="28"/>
      <c r="M349" s="4"/>
    </row>
    <row r="350" spans="1:14" x14ac:dyDescent="0.2">
      <c r="A350" s="10" t="s">
        <v>34</v>
      </c>
      <c r="B350" s="63" t="s">
        <v>15</v>
      </c>
      <c r="C350" s="163"/>
      <c r="D350" s="45"/>
      <c r="E350" s="163"/>
      <c r="F350" s="163">
        <v>222</v>
      </c>
      <c r="G350" s="4"/>
      <c r="H350" s="73">
        <v>35000</v>
      </c>
      <c r="I350" s="14"/>
      <c r="J350" s="28"/>
      <c r="K350" s="14"/>
      <c r="L350" s="28"/>
      <c r="M350" s="4"/>
    </row>
    <row r="351" spans="1:14" ht="38.25" x14ac:dyDescent="0.2">
      <c r="A351" s="52" t="s">
        <v>35</v>
      </c>
      <c r="B351" s="62" t="s">
        <v>99</v>
      </c>
      <c r="C351" s="163"/>
      <c r="D351" s="45"/>
      <c r="E351" s="29"/>
      <c r="F351" s="29"/>
      <c r="G351" s="4"/>
      <c r="H351" s="72">
        <f>H352+H353+H354+H355</f>
        <v>16640</v>
      </c>
      <c r="I351" s="14"/>
      <c r="J351" s="38"/>
      <c r="K351" s="14"/>
      <c r="L351" s="38"/>
      <c r="M351" s="4"/>
    </row>
    <row r="352" spans="1:14" s="2" customFormat="1" ht="36.75" customHeight="1" x14ac:dyDescent="0.2">
      <c r="A352" s="10" t="s">
        <v>178</v>
      </c>
      <c r="B352" s="63" t="s">
        <v>72</v>
      </c>
      <c r="C352" s="163" t="s">
        <v>521</v>
      </c>
      <c r="D352" s="45" t="s">
        <v>510</v>
      </c>
      <c r="E352" s="163" t="s">
        <v>593</v>
      </c>
      <c r="F352" s="29" t="s">
        <v>611</v>
      </c>
      <c r="G352" s="41"/>
      <c r="H352" s="73">
        <f>18*700</f>
        <v>12600</v>
      </c>
      <c r="I352" s="155"/>
      <c r="J352" s="166">
        <f>18*500</f>
        <v>9000</v>
      </c>
      <c r="K352" s="155"/>
      <c r="L352" s="166">
        <f>J352</f>
        <v>9000</v>
      </c>
      <c r="M352" s="41"/>
    </row>
    <row r="353" spans="1:15" ht="56.25" x14ac:dyDescent="0.2">
      <c r="A353" s="10" t="s">
        <v>179</v>
      </c>
      <c r="B353" s="63" t="s">
        <v>596</v>
      </c>
      <c r="C353" s="163" t="s">
        <v>512</v>
      </c>
      <c r="D353" s="45" t="s">
        <v>510</v>
      </c>
      <c r="E353" s="163" t="s">
        <v>598</v>
      </c>
      <c r="F353" s="29" t="s">
        <v>611</v>
      </c>
      <c r="G353" s="4"/>
      <c r="H353" s="73">
        <f>18*30</f>
        <v>540</v>
      </c>
      <c r="I353" s="14"/>
      <c r="J353" s="28">
        <f>8*7.95+10*6.78</f>
        <v>131.4</v>
      </c>
      <c r="K353" s="14"/>
      <c r="L353" s="28">
        <f>J353</f>
        <v>131.4</v>
      </c>
      <c r="M353" s="4"/>
    </row>
    <row r="354" spans="1:15" ht="33.75" x14ac:dyDescent="0.2">
      <c r="A354" s="10" t="s">
        <v>180</v>
      </c>
      <c r="B354" s="63" t="s">
        <v>597</v>
      </c>
      <c r="C354" s="163" t="s">
        <v>512</v>
      </c>
      <c r="D354" s="45" t="s">
        <v>510</v>
      </c>
      <c r="E354" s="163" t="s">
        <v>573</v>
      </c>
      <c r="F354" s="29" t="s">
        <v>611</v>
      </c>
      <c r="G354" s="4"/>
      <c r="H354" s="73">
        <f>12*125</f>
        <v>1500</v>
      </c>
      <c r="I354" s="14"/>
      <c r="J354" s="28">
        <f>12*56.75</f>
        <v>681</v>
      </c>
      <c r="K354" s="14"/>
      <c r="L354" s="28">
        <f>J354</f>
        <v>681</v>
      </c>
      <c r="M354" s="4"/>
    </row>
    <row r="355" spans="1:15" ht="33.75" x14ac:dyDescent="0.2">
      <c r="A355" s="10" t="s">
        <v>181</v>
      </c>
      <c r="B355" s="63" t="s">
        <v>231</v>
      </c>
      <c r="C355" s="163" t="s">
        <v>512</v>
      </c>
      <c r="D355" s="45" t="s">
        <v>510</v>
      </c>
      <c r="E355" s="163" t="s">
        <v>573</v>
      </c>
      <c r="F355" s="29" t="s">
        <v>611</v>
      </c>
      <c r="G355" s="4"/>
      <c r="H355" s="73">
        <f>4*500</f>
        <v>2000</v>
      </c>
      <c r="I355" s="14"/>
      <c r="J355" s="28">
        <f>4*228.95</f>
        <v>915.8</v>
      </c>
      <c r="K355" s="14"/>
      <c r="L355" s="28">
        <f>J355</f>
        <v>915.8</v>
      </c>
      <c r="M355" s="4"/>
    </row>
    <row r="356" spans="1:15" ht="25.5" x14ac:dyDescent="0.2">
      <c r="A356" s="52" t="s">
        <v>38</v>
      </c>
      <c r="B356" s="62" t="s">
        <v>458</v>
      </c>
      <c r="C356" s="163"/>
      <c r="D356" s="45"/>
      <c r="E356" s="163"/>
      <c r="F356" s="163"/>
      <c r="G356" s="4"/>
      <c r="H356" s="72">
        <f>H357</f>
        <v>60000</v>
      </c>
      <c r="I356" s="14"/>
      <c r="J356" s="28"/>
      <c r="K356" s="14"/>
      <c r="L356" s="28"/>
      <c r="M356" s="4"/>
    </row>
    <row r="357" spans="1:15" ht="25.5" x14ac:dyDescent="0.2">
      <c r="A357" s="10" t="s">
        <v>39</v>
      </c>
      <c r="B357" s="63" t="s">
        <v>459</v>
      </c>
      <c r="C357" s="163"/>
      <c r="D357" s="45"/>
      <c r="E357" s="163"/>
      <c r="F357" s="29" t="s">
        <v>609</v>
      </c>
      <c r="G357" s="4"/>
      <c r="H357" s="73">
        <v>60000</v>
      </c>
      <c r="I357" s="14"/>
      <c r="J357" s="38"/>
      <c r="K357" s="14"/>
      <c r="L357" s="38"/>
      <c r="M357" s="4"/>
    </row>
    <row r="358" spans="1:15" ht="27.75" customHeight="1" x14ac:dyDescent="0.2">
      <c r="A358" s="7">
        <v>13</v>
      </c>
      <c r="B358" s="62" t="s">
        <v>100</v>
      </c>
      <c r="C358" s="163"/>
      <c r="D358" s="45"/>
      <c r="E358" s="163"/>
      <c r="F358" s="163"/>
      <c r="G358" s="4"/>
      <c r="H358" s="72">
        <f>H359+H360</f>
        <v>66000</v>
      </c>
      <c r="I358" s="14"/>
      <c r="J358" s="38"/>
      <c r="K358" s="14"/>
      <c r="L358" s="38"/>
      <c r="M358" s="4"/>
    </row>
    <row r="359" spans="1:15" x14ac:dyDescent="0.2">
      <c r="A359" s="10" t="s">
        <v>125</v>
      </c>
      <c r="B359" s="63" t="s">
        <v>22</v>
      </c>
      <c r="C359" s="44"/>
      <c r="D359" s="45"/>
      <c r="E359" s="163"/>
      <c r="F359" s="29" t="s">
        <v>609</v>
      </c>
      <c r="G359" s="4"/>
      <c r="H359" s="73">
        <v>30000</v>
      </c>
      <c r="I359" s="14"/>
      <c r="J359" s="38"/>
      <c r="K359" s="14"/>
      <c r="L359" s="38"/>
      <c r="M359" s="4"/>
    </row>
    <row r="360" spans="1:15" x14ac:dyDescent="0.2">
      <c r="A360" s="10" t="s">
        <v>126</v>
      </c>
      <c r="B360" s="63" t="s">
        <v>101</v>
      </c>
      <c r="C360" s="151"/>
      <c r="D360" s="45"/>
      <c r="E360" s="29"/>
      <c r="F360" s="29" t="s">
        <v>609</v>
      </c>
      <c r="G360" s="4"/>
      <c r="H360" s="73">
        <v>36000</v>
      </c>
      <c r="I360" s="14"/>
      <c r="J360" s="38"/>
      <c r="K360" s="14"/>
      <c r="L360" s="38"/>
      <c r="M360" s="4"/>
    </row>
    <row r="361" spans="1:15" ht="25.5" x14ac:dyDescent="0.2">
      <c r="A361" s="52" t="s">
        <v>41</v>
      </c>
      <c r="B361" s="62" t="s">
        <v>110</v>
      </c>
      <c r="C361" s="151"/>
      <c r="D361" s="45"/>
      <c r="E361" s="163"/>
      <c r="F361" s="163"/>
      <c r="G361" s="4"/>
      <c r="H361" s="72">
        <f>H362+H363+H364+H365</f>
        <v>25050</v>
      </c>
      <c r="I361" s="14"/>
      <c r="J361" s="38"/>
      <c r="K361" s="14"/>
      <c r="L361" s="38"/>
      <c r="M361" s="4"/>
      <c r="N361" s="42"/>
      <c r="O361" s="42"/>
    </row>
    <row r="362" spans="1:15" s="2" customFormat="1" ht="33.75" x14ac:dyDescent="0.2">
      <c r="A362" s="10" t="s">
        <v>42</v>
      </c>
      <c r="B362" s="63" t="s">
        <v>72</v>
      </c>
      <c r="C362" s="163" t="s">
        <v>521</v>
      </c>
      <c r="D362" s="45" t="s">
        <v>510</v>
      </c>
      <c r="E362" s="163" t="s">
        <v>593</v>
      </c>
      <c r="F362" s="29" t="s">
        <v>611</v>
      </c>
      <c r="G362" s="41"/>
      <c r="H362" s="73">
        <f>9*700</f>
        <v>6300</v>
      </c>
      <c r="I362" s="155"/>
      <c r="J362" s="166">
        <f>9*500</f>
        <v>4500</v>
      </c>
      <c r="K362" s="155"/>
      <c r="L362" s="166">
        <f>J362</f>
        <v>4500</v>
      </c>
      <c r="M362" s="41"/>
      <c r="N362" s="43"/>
    </row>
    <row r="363" spans="1:15" ht="25.5" x14ac:dyDescent="0.2">
      <c r="A363" s="10" t="s">
        <v>460</v>
      </c>
      <c r="B363" s="63" t="s">
        <v>344</v>
      </c>
      <c r="C363" s="151"/>
      <c r="D363" s="45"/>
      <c r="E363" s="163"/>
      <c r="F363" s="29" t="s">
        <v>611</v>
      </c>
      <c r="G363" s="4"/>
      <c r="H363" s="73">
        <v>5000</v>
      </c>
      <c r="I363" s="14"/>
      <c r="J363" s="38"/>
      <c r="K363" s="14"/>
      <c r="L363" s="38"/>
      <c r="M363" s="4"/>
      <c r="N363" s="54"/>
    </row>
    <row r="364" spans="1:15" ht="45" x14ac:dyDescent="0.2">
      <c r="A364" s="10" t="s">
        <v>461</v>
      </c>
      <c r="B364" s="63" t="s">
        <v>45</v>
      </c>
      <c r="C364" s="44" t="s">
        <v>214</v>
      </c>
      <c r="D364" s="45" t="s">
        <v>215</v>
      </c>
      <c r="E364" s="163" t="s">
        <v>529</v>
      </c>
      <c r="F364" s="29" t="s">
        <v>609</v>
      </c>
      <c r="G364" s="41"/>
      <c r="H364" s="73">
        <f>1*1500</f>
        <v>1500</v>
      </c>
      <c r="I364" s="155"/>
      <c r="J364" s="166">
        <v>1320</v>
      </c>
      <c r="K364" s="155"/>
      <c r="L364" s="166">
        <v>1320</v>
      </c>
      <c r="M364" s="41"/>
      <c r="N364" s="54"/>
    </row>
    <row r="365" spans="1:15" ht="33.75" x14ac:dyDescent="0.2">
      <c r="A365" s="10" t="s">
        <v>462</v>
      </c>
      <c r="B365" s="63" t="s">
        <v>27</v>
      </c>
      <c r="C365" s="163" t="s">
        <v>531</v>
      </c>
      <c r="D365" s="45" t="s">
        <v>215</v>
      </c>
      <c r="E365" s="163" t="s">
        <v>532</v>
      </c>
      <c r="F365" s="29" t="s">
        <v>609</v>
      </c>
      <c r="G365" s="4"/>
      <c r="H365" s="73">
        <v>12250</v>
      </c>
      <c r="I365" s="14"/>
      <c r="J365" s="166">
        <v>9425</v>
      </c>
      <c r="K365" s="155"/>
      <c r="L365" s="166"/>
      <c r="M365" s="41"/>
    </row>
    <row r="366" spans="1:15" ht="25.5" x14ac:dyDescent="0.2">
      <c r="A366" s="52" t="s">
        <v>43</v>
      </c>
      <c r="B366" s="62" t="s">
        <v>102</v>
      </c>
      <c r="C366" s="151"/>
      <c r="D366" s="29"/>
      <c r="E366" s="29"/>
      <c r="F366" s="29"/>
      <c r="G366" s="4"/>
      <c r="H366" s="72">
        <f>H367+H368+H369</f>
        <v>5130</v>
      </c>
      <c r="I366" s="38"/>
      <c r="J366" s="38"/>
      <c r="K366" s="14"/>
      <c r="L366" s="38"/>
      <c r="M366" s="4"/>
      <c r="N366" s="42"/>
    </row>
    <row r="367" spans="1:15" s="2" customFormat="1" ht="33.75" x14ac:dyDescent="0.2">
      <c r="A367" s="10" t="s">
        <v>255</v>
      </c>
      <c r="B367" s="63" t="s">
        <v>596</v>
      </c>
      <c r="C367" s="163" t="s">
        <v>512</v>
      </c>
      <c r="D367" s="45" t="s">
        <v>510</v>
      </c>
      <c r="E367" s="163" t="s">
        <v>573</v>
      </c>
      <c r="F367" s="29" t="s">
        <v>611</v>
      </c>
      <c r="G367" s="41"/>
      <c r="H367" s="73">
        <f>6*30</f>
        <v>180</v>
      </c>
      <c r="I367" s="155"/>
      <c r="J367" s="166">
        <f>6*6.78</f>
        <v>40.68</v>
      </c>
      <c r="K367" s="155"/>
      <c r="L367" s="166">
        <f>J367</f>
        <v>40.68</v>
      </c>
      <c r="M367" s="41"/>
    </row>
    <row r="368" spans="1:15" ht="33.75" x14ac:dyDescent="0.2">
      <c r="A368" s="10" t="s">
        <v>463</v>
      </c>
      <c r="B368" s="63" t="s">
        <v>597</v>
      </c>
      <c r="C368" s="163" t="s">
        <v>512</v>
      </c>
      <c r="D368" s="45" t="s">
        <v>510</v>
      </c>
      <c r="E368" s="163" t="s">
        <v>573</v>
      </c>
      <c r="F368" s="29" t="s">
        <v>611</v>
      </c>
      <c r="G368" s="4"/>
      <c r="H368" s="73">
        <f>6*125</f>
        <v>750</v>
      </c>
      <c r="I368" s="14"/>
      <c r="J368" s="28">
        <f>6*56.75</f>
        <v>340.5</v>
      </c>
      <c r="K368" s="14"/>
      <c r="L368" s="28">
        <f>J368</f>
        <v>340.5</v>
      </c>
      <c r="M368" s="4"/>
    </row>
    <row r="369" spans="1:13" s="2" customFormat="1" ht="33.75" x14ac:dyDescent="0.2">
      <c r="A369" s="10" t="s">
        <v>464</v>
      </c>
      <c r="B369" s="63" t="s">
        <v>72</v>
      </c>
      <c r="C369" s="163" t="s">
        <v>521</v>
      </c>
      <c r="D369" s="45" t="s">
        <v>510</v>
      </c>
      <c r="E369" s="163" t="s">
        <v>593</v>
      </c>
      <c r="F369" s="29" t="s">
        <v>611</v>
      </c>
      <c r="G369" s="41"/>
      <c r="H369" s="73">
        <f>6*700</f>
        <v>4200</v>
      </c>
      <c r="I369" s="155"/>
      <c r="J369" s="166">
        <f>8*500</f>
        <v>4000</v>
      </c>
      <c r="K369" s="155"/>
      <c r="L369" s="166">
        <f>J369</f>
        <v>4000</v>
      </c>
      <c r="M369" s="41"/>
    </row>
    <row r="370" spans="1:13" ht="25.5" x14ac:dyDescent="0.2">
      <c r="A370" s="52" t="s">
        <v>44</v>
      </c>
      <c r="B370" s="62" t="s">
        <v>465</v>
      </c>
      <c r="C370" s="151"/>
      <c r="D370" s="29"/>
      <c r="E370" s="29"/>
      <c r="F370" s="29"/>
      <c r="G370" s="38"/>
      <c r="H370" s="72">
        <f>H371+H372+H373</f>
        <v>5130</v>
      </c>
      <c r="I370" s="38"/>
      <c r="J370" s="38"/>
      <c r="K370" s="38"/>
      <c r="L370" s="4"/>
      <c r="M370" s="4"/>
    </row>
    <row r="371" spans="1:13" s="2" customFormat="1" ht="33.75" x14ac:dyDescent="0.2">
      <c r="A371" s="10" t="s">
        <v>257</v>
      </c>
      <c r="B371" s="63" t="s">
        <v>72</v>
      </c>
      <c r="C371" s="163" t="s">
        <v>521</v>
      </c>
      <c r="D371" s="45" t="s">
        <v>510</v>
      </c>
      <c r="E371" s="163" t="s">
        <v>593</v>
      </c>
      <c r="F371" s="29" t="s">
        <v>611</v>
      </c>
      <c r="G371" s="166"/>
      <c r="H371" s="73">
        <f>6*700</f>
        <v>4200</v>
      </c>
      <c r="I371" s="166"/>
      <c r="J371" s="166">
        <f>8*500</f>
        <v>4000</v>
      </c>
      <c r="K371" s="166"/>
      <c r="L371" s="166">
        <f>J371</f>
        <v>4000</v>
      </c>
      <c r="M371" s="41"/>
    </row>
    <row r="372" spans="1:13" ht="33.75" x14ac:dyDescent="0.2">
      <c r="A372" s="10" t="s">
        <v>466</v>
      </c>
      <c r="B372" s="63" t="s">
        <v>596</v>
      </c>
      <c r="C372" s="163" t="s">
        <v>512</v>
      </c>
      <c r="D372" s="45" t="s">
        <v>510</v>
      </c>
      <c r="E372" s="163" t="s">
        <v>573</v>
      </c>
      <c r="F372" s="29" t="s">
        <v>611</v>
      </c>
      <c r="G372" s="28"/>
      <c r="H372" s="73">
        <f>6*30</f>
        <v>180</v>
      </c>
      <c r="I372" s="28"/>
      <c r="J372" s="28">
        <f>6*6.78</f>
        <v>40.68</v>
      </c>
      <c r="K372" s="28"/>
      <c r="L372" s="166">
        <f>J372</f>
        <v>40.68</v>
      </c>
      <c r="M372" s="4"/>
    </row>
    <row r="373" spans="1:13" ht="33.75" x14ac:dyDescent="0.2">
      <c r="A373" s="10" t="s">
        <v>467</v>
      </c>
      <c r="B373" s="63" t="s">
        <v>597</v>
      </c>
      <c r="C373" s="163" t="s">
        <v>512</v>
      </c>
      <c r="D373" s="45" t="s">
        <v>510</v>
      </c>
      <c r="E373" s="163" t="s">
        <v>573</v>
      </c>
      <c r="F373" s="29" t="s">
        <v>611</v>
      </c>
      <c r="G373" s="4"/>
      <c r="H373" s="73">
        <f>6*125</f>
        <v>750</v>
      </c>
      <c r="I373" s="14"/>
      <c r="J373" s="28">
        <f>6*56.75</f>
        <v>340.5</v>
      </c>
      <c r="K373" s="14"/>
      <c r="L373" s="28">
        <f>J373</f>
        <v>340.5</v>
      </c>
      <c r="M373" s="4"/>
    </row>
    <row r="374" spans="1:13" s="3" customFormat="1" ht="25.5" x14ac:dyDescent="0.2">
      <c r="A374" s="52" t="s">
        <v>131</v>
      </c>
      <c r="B374" s="62" t="s">
        <v>103</v>
      </c>
      <c r="C374" s="26"/>
      <c r="D374" s="37"/>
      <c r="E374" s="37"/>
      <c r="F374" s="37"/>
      <c r="G374" s="36"/>
      <c r="H374" s="72">
        <f>H375+H376</f>
        <v>5300</v>
      </c>
      <c r="I374" s="39"/>
      <c r="J374" s="38"/>
      <c r="K374" s="39"/>
      <c r="L374" s="38"/>
      <c r="M374" s="36"/>
    </row>
    <row r="375" spans="1:13" ht="33.75" x14ac:dyDescent="0.2">
      <c r="A375" s="10" t="s">
        <v>258</v>
      </c>
      <c r="B375" s="63" t="s">
        <v>596</v>
      </c>
      <c r="C375" s="163" t="s">
        <v>512</v>
      </c>
      <c r="D375" s="45" t="s">
        <v>510</v>
      </c>
      <c r="E375" s="163" t="s">
        <v>573</v>
      </c>
      <c r="F375" s="29" t="s">
        <v>611</v>
      </c>
      <c r="G375" s="4"/>
      <c r="H375" s="73">
        <f>10*30</f>
        <v>300</v>
      </c>
      <c r="I375" s="14"/>
      <c r="J375" s="28">
        <f>10*6.78</f>
        <v>67.8</v>
      </c>
      <c r="K375" s="14"/>
      <c r="L375" s="28">
        <f>J375</f>
        <v>67.8</v>
      </c>
      <c r="M375" s="4"/>
    </row>
    <row r="376" spans="1:13" s="2" customFormat="1" ht="33.75" x14ac:dyDescent="0.2">
      <c r="A376" s="10" t="s">
        <v>259</v>
      </c>
      <c r="B376" s="63" t="s">
        <v>72</v>
      </c>
      <c r="C376" s="163" t="s">
        <v>521</v>
      </c>
      <c r="D376" s="45" t="s">
        <v>510</v>
      </c>
      <c r="E376" s="163" t="s">
        <v>593</v>
      </c>
      <c r="F376" s="29" t="s">
        <v>611</v>
      </c>
      <c r="G376" s="41"/>
      <c r="H376" s="73">
        <v>5000</v>
      </c>
      <c r="I376" s="155"/>
      <c r="J376" s="166">
        <f>10*500</f>
        <v>5000</v>
      </c>
      <c r="K376" s="155"/>
      <c r="L376" s="166">
        <f>J376</f>
        <v>5000</v>
      </c>
      <c r="M376" s="41"/>
    </row>
    <row r="377" spans="1:13" ht="25.5" x14ac:dyDescent="0.2">
      <c r="A377" s="52" t="s">
        <v>162</v>
      </c>
      <c r="B377" s="62" t="s">
        <v>105</v>
      </c>
      <c r="C377" s="151"/>
      <c r="D377" s="45"/>
      <c r="E377" s="29"/>
      <c r="F377" s="29"/>
      <c r="G377" s="4"/>
      <c r="H377" s="72">
        <f>H378+H379+H380+H381+H382+H383</f>
        <v>51535</v>
      </c>
      <c r="I377" s="14"/>
      <c r="J377" s="28"/>
      <c r="K377" s="14"/>
      <c r="L377" s="28"/>
      <c r="M377" s="4"/>
    </row>
    <row r="378" spans="1:13" s="2" customFormat="1" ht="33.75" x14ac:dyDescent="0.2">
      <c r="A378" s="10" t="s">
        <v>261</v>
      </c>
      <c r="B378" s="63" t="s">
        <v>72</v>
      </c>
      <c r="C378" s="163" t="s">
        <v>521</v>
      </c>
      <c r="D378" s="45" t="s">
        <v>510</v>
      </c>
      <c r="E378" s="163" t="s">
        <v>593</v>
      </c>
      <c r="F378" s="29" t="s">
        <v>611</v>
      </c>
      <c r="G378" s="41"/>
      <c r="H378" s="73">
        <f>42*700</f>
        <v>29400</v>
      </c>
      <c r="I378" s="155"/>
      <c r="J378" s="166">
        <f>14*1000+30*500</f>
        <v>29000</v>
      </c>
      <c r="K378" s="155"/>
      <c r="L378" s="166">
        <f>J378</f>
        <v>29000</v>
      </c>
      <c r="M378" s="41"/>
    </row>
    <row r="379" spans="1:13" ht="33.75" x14ac:dyDescent="0.2">
      <c r="A379" s="10" t="s">
        <v>468</v>
      </c>
      <c r="B379" s="63" t="s">
        <v>71</v>
      </c>
      <c r="C379" s="163" t="s">
        <v>511</v>
      </c>
      <c r="D379" s="45" t="s">
        <v>215</v>
      </c>
      <c r="E379" s="163" t="s">
        <v>553</v>
      </c>
      <c r="F379" s="29" t="s">
        <v>602</v>
      </c>
      <c r="G379" s="4"/>
      <c r="H379" s="73">
        <v>3000</v>
      </c>
      <c r="I379" s="155"/>
      <c r="J379" s="166">
        <v>1141.5</v>
      </c>
      <c r="K379" s="155"/>
      <c r="L379" s="166">
        <v>1141.5</v>
      </c>
      <c r="M379" s="4"/>
    </row>
    <row r="380" spans="1:13" ht="33.75" x14ac:dyDescent="0.2">
      <c r="A380" s="10" t="s">
        <v>469</v>
      </c>
      <c r="B380" s="63" t="s">
        <v>597</v>
      </c>
      <c r="C380" s="163" t="s">
        <v>512</v>
      </c>
      <c r="D380" s="45" t="s">
        <v>510</v>
      </c>
      <c r="E380" s="163" t="s">
        <v>573</v>
      </c>
      <c r="F380" s="29" t="s">
        <v>611</v>
      </c>
      <c r="G380" s="4"/>
      <c r="H380" s="73">
        <f>33*125</f>
        <v>4125</v>
      </c>
      <c r="I380" s="14"/>
      <c r="J380" s="28">
        <f>33*56.75</f>
        <v>1872.75</v>
      </c>
      <c r="K380" s="14"/>
      <c r="L380" s="28">
        <f>J380</f>
        <v>1872.75</v>
      </c>
      <c r="M380" s="4"/>
    </row>
    <row r="381" spans="1:13" s="2" customFormat="1" ht="33.75" x14ac:dyDescent="0.2">
      <c r="A381" s="10" t="s">
        <v>470</v>
      </c>
      <c r="B381" s="63" t="s">
        <v>596</v>
      </c>
      <c r="C381" s="163" t="s">
        <v>512</v>
      </c>
      <c r="D381" s="45" t="s">
        <v>510</v>
      </c>
      <c r="E381" s="163" t="s">
        <v>573</v>
      </c>
      <c r="F381" s="29" t="s">
        <v>611</v>
      </c>
      <c r="G381" s="41"/>
      <c r="H381" s="73">
        <f>42*30</f>
        <v>1260</v>
      </c>
      <c r="I381" s="155"/>
      <c r="J381" s="166">
        <f>42*6.78</f>
        <v>284.76</v>
      </c>
      <c r="K381" s="155"/>
      <c r="L381" s="166">
        <f>J381</f>
        <v>284.76</v>
      </c>
      <c r="M381" s="41"/>
    </row>
    <row r="382" spans="1:13" ht="45" x14ac:dyDescent="0.2">
      <c r="A382" s="10" t="s">
        <v>471</v>
      </c>
      <c r="B382" s="63" t="s">
        <v>45</v>
      </c>
      <c r="C382" s="44" t="s">
        <v>214</v>
      </c>
      <c r="D382" s="45" t="s">
        <v>215</v>
      </c>
      <c r="E382" s="163" t="s">
        <v>529</v>
      </c>
      <c r="F382" s="29" t="s">
        <v>609</v>
      </c>
      <c r="G382" s="4"/>
      <c r="H382" s="73">
        <f>1*1500</f>
        <v>1500</v>
      </c>
      <c r="I382" s="14"/>
      <c r="J382" s="28">
        <v>1320</v>
      </c>
      <c r="K382" s="14"/>
      <c r="L382" s="28"/>
      <c r="M382" s="4"/>
    </row>
    <row r="383" spans="1:13" s="3" customFormat="1" ht="33.75" x14ac:dyDescent="0.2">
      <c r="A383" s="10" t="s">
        <v>472</v>
      </c>
      <c r="B383" s="63" t="s">
        <v>27</v>
      </c>
      <c r="C383" s="163" t="s">
        <v>531</v>
      </c>
      <c r="D383" s="45" t="s">
        <v>215</v>
      </c>
      <c r="E383" s="163" t="s">
        <v>532</v>
      </c>
      <c r="F383" s="29" t="s">
        <v>609</v>
      </c>
      <c r="G383" s="36"/>
      <c r="H383" s="73">
        <v>12250</v>
      </c>
      <c r="I383" s="39"/>
      <c r="J383" s="166">
        <v>9425</v>
      </c>
      <c r="K383" s="39"/>
      <c r="L383" s="38"/>
      <c r="M383" s="36"/>
    </row>
    <row r="384" spans="1:13" x14ac:dyDescent="0.2">
      <c r="A384" s="52" t="s">
        <v>69</v>
      </c>
      <c r="B384" s="9" t="s">
        <v>473</v>
      </c>
      <c r="C384" s="151"/>
      <c r="D384" s="45"/>
      <c r="E384" s="29"/>
      <c r="F384" s="29"/>
      <c r="G384" s="4"/>
      <c r="H384" s="72">
        <f>H385+H386+H387+H388+H389</f>
        <v>34270</v>
      </c>
      <c r="I384" s="14"/>
      <c r="J384" s="28"/>
      <c r="K384" s="14"/>
      <c r="L384" s="28"/>
      <c r="M384" s="4"/>
    </row>
    <row r="385" spans="1:13" ht="33.75" x14ac:dyDescent="0.2">
      <c r="A385" s="10" t="s">
        <v>70</v>
      </c>
      <c r="B385" s="63" t="s">
        <v>596</v>
      </c>
      <c r="C385" s="163" t="s">
        <v>512</v>
      </c>
      <c r="D385" s="45" t="s">
        <v>510</v>
      </c>
      <c r="E385" s="163" t="s">
        <v>573</v>
      </c>
      <c r="F385" s="29" t="s">
        <v>611</v>
      </c>
      <c r="G385" s="4"/>
      <c r="H385" s="73">
        <f>24*30</f>
        <v>720</v>
      </c>
      <c r="I385" s="14"/>
      <c r="J385" s="28">
        <f>24*6.78</f>
        <v>162.72</v>
      </c>
      <c r="K385" s="14"/>
      <c r="L385" s="28">
        <f>J385</f>
        <v>162.72</v>
      </c>
      <c r="M385" s="4"/>
    </row>
    <row r="386" spans="1:13" ht="33.75" x14ac:dyDescent="0.2">
      <c r="A386" s="10" t="s">
        <v>132</v>
      </c>
      <c r="B386" s="63" t="s">
        <v>597</v>
      </c>
      <c r="C386" s="163" t="s">
        <v>512</v>
      </c>
      <c r="D386" s="45" t="s">
        <v>510</v>
      </c>
      <c r="E386" s="163" t="s">
        <v>573</v>
      </c>
      <c r="F386" s="29" t="s">
        <v>611</v>
      </c>
      <c r="G386" s="4"/>
      <c r="H386" s="73">
        <f>24*125</f>
        <v>3000</v>
      </c>
      <c r="I386" s="14"/>
      <c r="J386" s="28">
        <f>24*52.31</f>
        <v>1255.44</v>
      </c>
      <c r="K386" s="14"/>
      <c r="L386" s="28">
        <f>J386</f>
        <v>1255.44</v>
      </c>
      <c r="M386" s="4"/>
    </row>
    <row r="387" spans="1:13" s="2" customFormat="1" ht="33.75" x14ac:dyDescent="0.2">
      <c r="A387" s="10" t="s">
        <v>133</v>
      </c>
      <c r="B387" s="63" t="s">
        <v>72</v>
      </c>
      <c r="C387" s="163" t="s">
        <v>521</v>
      </c>
      <c r="D387" s="45" t="s">
        <v>510</v>
      </c>
      <c r="E387" s="163" t="s">
        <v>593</v>
      </c>
      <c r="F387" s="29" t="s">
        <v>611</v>
      </c>
      <c r="G387" s="41"/>
      <c r="H387" s="73">
        <f>24*700</f>
        <v>16800</v>
      </c>
      <c r="I387" s="155"/>
      <c r="J387" s="166">
        <f>33*500</f>
        <v>16500</v>
      </c>
      <c r="K387" s="155"/>
      <c r="L387" s="166">
        <f>J387</f>
        <v>16500</v>
      </c>
      <c r="M387" s="41"/>
    </row>
    <row r="388" spans="1:13" ht="45" x14ac:dyDescent="0.2">
      <c r="A388" s="10" t="s">
        <v>134</v>
      </c>
      <c r="B388" s="63" t="s">
        <v>45</v>
      </c>
      <c r="C388" s="44" t="s">
        <v>214</v>
      </c>
      <c r="D388" s="45" t="s">
        <v>215</v>
      </c>
      <c r="E388" s="163" t="s">
        <v>529</v>
      </c>
      <c r="F388" s="29" t="s">
        <v>609</v>
      </c>
      <c r="G388" s="4"/>
      <c r="H388" s="73">
        <f>1*1500</f>
        <v>1500</v>
      </c>
      <c r="I388" s="14"/>
      <c r="J388" s="28">
        <v>1320</v>
      </c>
      <c r="K388" s="14"/>
      <c r="L388" s="28"/>
      <c r="M388" s="4"/>
    </row>
    <row r="389" spans="1:13" ht="33.75" x14ac:dyDescent="0.2">
      <c r="A389" s="10" t="s">
        <v>135</v>
      </c>
      <c r="B389" s="63" t="s">
        <v>27</v>
      </c>
      <c r="C389" s="163" t="s">
        <v>531</v>
      </c>
      <c r="D389" s="45" t="s">
        <v>215</v>
      </c>
      <c r="E389" s="163" t="s">
        <v>532</v>
      </c>
      <c r="F389" s="29" t="s">
        <v>609</v>
      </c>
      <c r="G389" s="4"/>
      <c r="H389" s="73">
        <v>12250</v>
      </c>
      <c r="I389" s="14"/>
      <c r="J389" s="28">
        <v>9425</v>
      </c>
      <c r="K389" s="14"/>
      <c r="L389" s="28"/>
      <c r="M389" s="4"/>
    </row>
    <row r="390" spans="1:13" s="3" customFormat="1" ht="25.5" x14ac:dyDescent="0.2">
      <c r="A390" s="52" t="s">
        <v>163</v>
      </c>
      <c r="B390" s="62" t="s">
        <v>106</v>
      </c>
      <c r="C390" s="26"/>
      <c r="D390" s="37"/>
      <c r="E390" s="37"/>
      <c r="F390" s="37"/>
      <c r="G390" s="36"/>
      <c r="H390" s="72">
        <f>H391</f>
        <v>170000</v>
      </c>
      <c r="I390" s="39"/>
      <c r="J390" s="38"/>
      <c r="K390" s="39"/>
      <c r="L390" s="38"/>
      <c r="M390" s="36"/>
    </row>
    <row r="391" spans="1:13" x14ac:dyDescent="0.2">
      <c r="A391" s="10" t="s">
        <v>263</v>
      </c>
      <c r="B391" s="107" t="s">
        <v>183</v>
      </c>
      <c r="C391" s="151"/>
      <c r="D391" s="45"/>
      <c r="E391" s="29"/>
      <c r="F391" s="29" t="s">
        <v>609</v>
      </c>
      <c r="G391" s="4"/>
      <c r="H391" s="73">
        <v>170000</v>
      </c>
      <c r="I391" s="14"/>
      <c r="J391" s="28"/>
      <c r="K391" s="14"/>
      <c r="L391" s="28"/>
      <c r="M391" s="4"/>
    </row>
    <row r="392" spans="1:13" ht="25.5" x14ac:dyDescent="0.2">
      <c r="A392" s="52" t="s">
        <v>48</v>
      </c>
      <c r="B392" s="62" t="s">
        <v>474</v>
      </c>
      <c r="C392" s="151"/>
      <c r="D392" s="45"/>
      <c r="E392" s="29"/>
      <c r="F392" s="29"/>
      <c r="G392" s="4"/>
      <c r="H392" s="72">
        <f>H393+H394</f>
        <v>3590</v>
      </c>
      <c r="I392" s="14"/>
      <c r="J392" s="28"/>
      <c r="K392" s="14"/>
      <c r="L392" s="28"/>
      <c r="M392" s="4"/>
    </row>
    <row r="393" spans="1:13" s="2" customFormat="1" ht="33.75" x14ac:dyDescent="0.2">
      <c r="A393" s="10" t="s">
        <v>265</v>
      </c>
      <c r="B393" s="63" t="s">
        <v>596</v>
      </c>
      <c r="C393" s="163" t="s">
        <v>512</v>
      </c>
      <c r="D393" s="45" t="s">
        <v>510</v>
      </c>
      <c r="E393" s="163" t="s">
        <v>573</v>
      </c>
      <c r="F393" s="29" t="s">
        <v>611</v>
      </c>
      <c r="G393" s="41"/>
      <c r="H393" s="73">
        <f>3*30</f>
        <v>90</v>
      </c>
      <c r="I393" s="155"/>
      <c r="J393" s="166">
        <f>3*6.78</f>
        <v>20.34</v>
      </c>
      <c r="K393" s="155"/>
      <c r="L393" s="166">
        <f>J393</f>
        <v>20.34</v>
      </c>
      <c r="M393" s="41"/>
    </row>
    <row r="394" spans="1:13" s="2" customFormat="1" ht="33.75" x14ac:dyDescent="0.2">
      <c r="A394" s="10" t="s">
        <v>266</v>
      </c>
      <c r="B394" s="63" t="s">
        <v>72</v>
      </c>
      <c r="C394" s="163" t="s">
        <v>521</v>
      </c>
      <c r="D394" s="45" t="s">
        <v>510</v>
      </c>
      <c r="E394" s="163" t="s">
        <v>593</v>
      </c>
      <c r="F394" s="29" t="s">
        <v>611</v>
      </c>
      <c r="G394" s="41"/>
      <c r="H394" s="73">
        <f>5*700</f>
        <v>3500</v>
      </c>
      <c r="I394" s="155"/>
      <c r="J394" s="166">
        <f>7*500</f>
        <v>3500</v>
      </c>
      <c r="K394" s="155"/>
      <c r="L394" s="166">
        <f>J394</f>
        <v>3500</v>
      </c>
      <c r="M394" s="41"/>
    </row>
    <row r="395" spans="1:13" ht="38.25" x14ac:dyDescent="0.2">
      <c r="A395" s="52" t="s">
        <v>50</v>
      </c>
      <c r="B395" s="62" t="s">
        <v>475</v>
      </c>
      <c r="C395" s="151"/>
      <c r="D395" s="45"/>
      <c r="E395" s="29"/>
      <c r="F395" s="29"/>
      <c r="G395" s="4"/>
      <c r="H395" s="72">
        <f>H396+H397+H398</f>
        <v>15390</v>
      </c>
      <c r="I395" s="14"/>
      <c r="J395" s="28"/>
      <c r="K395" s="14"/>
      <c r="L395" s="28"/>
      <c r="M395" s="4"/>
    </row>
    <row r="396" spans="1:13" s="2" customFormat="1" ht="33.75" x14ac:dyDescent="0.2">
      <c r="A396" s="10" t="s">
        <v>271</v>
      </c>
      <c r="B396" s="63" t="s">
        <v>72</v>
      </c>
      <c r="C396" s="163" t="s">
        <v>521</v>
      </c>
      <c r="D396" s="45" t="s">
        <v>510</v>
      </c>
      <c r="E396" s="163" t="s">
        <v>593</v>
      </c>
      <c r="F396" s="29" t="s">
        <v>611</v>
      </c>
      <c r="G396" s="41"/>
      <c r="H396" s="73">
        <f>18*700</f>
        <v>12600</v>
      </c>
      <c r="I396" s="155"/>
      <c r="J396" s="166">
        <f>6*1000+12*500</f>
        <v>12000</v>
      </c>
      <c r="K396" s="155"/>
      <c r="L396" s="166">
        <f>J396</f>
        <v>12000</v>
      </c>
      <c r="M396" s="41"/>
    </row>
    <row r="397" spans="1:13" ht="33.75" x14ac:dyDescent="0.2">
      <c r="A397" s="10" t="s">
        <v>272</v>
      </c>
      <c r="B397" s="63" t="s">
        <v>597</v>
      </c>
      <c r="C397" s="163" t="s">
        <v>512</v>
      </c>
      <c r="D397" s="45" t="s">
        <v>510</v>
      </c>
      <c r="E397" s="163" t="s">
        <v>573</v>
      </c>
      <c r="F397" s="29" t="s">
        <v>611</v>
      </c>
      <c r="G397" s="4"/>
      <c r="H397" s="73">
        <f>18*125</f>
        <v>2250</v>
      </c>
      <c r="I397" s="14"/>
      <c r="J397" s="28">
        <f>18*56.75</f>
        <v>1021.5</v>
      </c>
      <c r="K397" s="14"/>
      <c r="L397" s="28">
        <f>J397</f>
        <v>1021.5</v>
      </c>
      <c r="M397" s="4"/>
    </row>
    <row r="398" spans="1:13" ht="33.75" x14ac:dyDescent="0.2">
      <c r="A398" s="10" t="s">
        <v>476</v>
      </c>
      <c r="B398" s="63" t="s">
        <v>596</v>
      </c>
      <c r="C398" s="163" t="s">
        <v>512</v>
      </c>
      <c r="D398" s="45" t="s">
        <v>510</v>
      </c>
      <c r="E398" s="163" t="s">
        <v>573</v>
      </c>
      <c r="F398" s="29" t="s">
        <v>611</v>
      </c>
      <c r="G398" s="4"/>
      <c r="H398" s="73">
        <f>18*30</f>
        <v>540</v>
      </c>
      <c r="I398" s="14"/>
      <c r="J398" s="28">
        <f>18*6.78</f>
        <v>122.04</v>
      </c>
      <c r="K398" s="14"/>
      <c r="L398" s="28">
        <f>J398</f>
        <v>122.04</v>
      </c>
      <c r="M398" s="4"/>
    </row>
    <row r="399" spans="1:13" ht="40.5" customHeight="1" x14ac:dyDescent="0.2">
      <c r="A399" s="108" t="s">
        <v>136</v>
      </c>
      <c r="B399" s="62" t="s">
        <v>184</v>
      </c>
      <c r="C399" s="163"/>
      <c r="D399" s="45"/>
      <c r="E399" s="163"/>
      <c r="F399" s="163"/>
      <c r="G399" s="4"/>
      <c r="H399" s="76">
        <f>H400+H401+H402+H403</f>
        <v>458200</v>
      </c>
      <c r="I399" s="14"/>
      <c r="J399" s="28"/>
      <c r="K399" s="14"/>
      <c r="L399" s="28"/>
      <c r="M399" s="4"/>
    </row>
    <row r="400" spans="1:13" ht="25.5" x14ac:dyDescent="0.2">
      <c r="A400" s="65" t="s">
        <v>386</v>
      </c>
      <c r="B400" s="66" t="s">
        <v>139</v>
      </c>
      <c r="C400" s="163"/>
      <c r="D400" s="45"/>
      <c r="E400" s="163"/>
      <c r="F400" s="29" t="s">
        <v>609</v>
      </c>
      <c r="G400" s="4"/>
      <c r="H400" s="118">
        <v>200000</v>
      </c>
      <c r="I400" s="14"/>
      <c r="J400" s="28"/>
      <c r="K400" s="14"/>
      <c r="L400" s="28"/>
      <c r="M400" s="4"/>
    </row>
    <row r="401" spans="1:13" ht="45" x14ac:dyDescent="0.2">
      <c r="A401" s="10" t="s">
        <v>395</v>
      </c>
      <c r="B401" s="63" t="s">
        <v>107</v>
      </c>
      <c r="C401" s="44" t="s">
        <v>214</v>
      </c>
      <c r="D401" s="45" t="s">
        <v>215</v>
      </c>
      <c r="E401" s="163" t="s">
        <v>529</v>
      </c>
      <c r="F401" s="29" t="s">
        <v>609</v>
      </c>
      <c r="G401" s="4"/>
      <c r="H401" s="73">
        <f>1600*2</f>
        <v>3200</v>
      </c>
      <c r="I401" s="14"/>
      <c r="J401" s="28">
        <v>2640</v>
      </c>
      <c r="K401" s="14"/>
      <c r="L401" s="28"/>
      <c r="M401" s="4"/>
    </row>
    <row r="402" spans="1:13" ht="33.75" x14ac:dyDescent="0.2">
      <c r="A402" s="10" t="s">
        <v>477</v>
      </c>
      <c r="B402" s="63" t="s">
        <v>27</v>
      </c>
      <c r="C402" s="163" t="s">
        <v>531</v>
      </c>
      <c r="D402" s="45" t="s">
        <v>215</v>
      </c>
      <c r="E402" s="163" t="s">
        <v>532</v>
      </c>
      <c r="F402" s="29" t="s">
        <v>609</v>
      </c>
      <c r="G402" s="4"/>
      <c r="H402" s="73">
        <v>25000</v>
      </c>
      <c r="I402" s="14"/>
      <c r="J402" s="28">
        <v>14960</v>
      </c>
      <c r="K402" s="14"/>
      <c r="L402" s="28"/>
      <c r="M402" s="4"/>
    </row>
    <row r="403" spans="1:13" x14ac:dyDescent="0.2">
      <c r="A403" s="10" t="s">
        <v>620</v>
      </c>
      <c r="B403" s="63" t="s">
        <v>621</v>
      </c>
      <c r="C403" s="163"/>
      <c r="D403" s="45"/>
      <c r="E403" s="163"/>
      <c r="F403" s="29" t="s">
        <v>602</v>
      </c>
      <c r="G403" s="4"/>
      <c r="H403" s="73">
        <v>230000</v>
      </c>
      <c r="I403" s="14"/>
      <c r="J403" s="28"/>
      <c r="K403" s="14"/>
      <c r="L403" s="28"/>
      <c r="M403" s="4"/>
    </row>
    <row r="404" spans="1:13" x14ac:dyDescent="0.2">
      <c r="A404" s="108" t="s">
        <v>164</v>
      </c>
      <c r="B404" s="62" t="s">
        <v>478</v>
      </c>
      <c r="C404" s="163"/>
      <c r="D404" s="45"/>
      <c r="E404" s="29"/>
      <c r="F404" s="29"/>
      <c r="G404" s="4"/>
      <c r="H404" s="76">
        <f>H405+H406+H407+H408+H409</f>
        <v>34270</v>
      </c>
      <c r="I404" s="14"/>
      <c r="J404" s="28"/>
      <c r="K404" s="14"/>
      <c r="L404" s="28"/>
      <c r="M404" s="4"/>
    </row>
    <row r="405" spans="1:13" s="2" customFormat="1" ht="33.75" x14ac:dyDescent="0.2">
      <c r="A405" s="10" t="s">
        <v>274</v>
      </c>
      <c r="B405" s="63" t="s">
        <v>596</v>
      </c>
      <c r="C405" s="163" t="s">
        <v>512</v>
      </c>
      <c r="D405" s="45" t="s">
        <v>510</v>
      </c>
      <c r="E405" s="163" t="s">
        <v>573</v>
      </c>
      <c r="F405" s="29" t="s">
        <v>611</v>
      </c>
      <c r="G405" s="41"/>
      <c r="H405" s="73">
        <f>24*30</f>
        <v>720</v>
      </c>
      <c r="I405" s="155"/>
      <c r="J405" s="166">
        <f>24*6.78</f>
        <v>162.72</v>
      </c>
      <c r="K405" s="155"/>
      <c r="L405" s="166">
        <f>J405</f>
        <v>162.72</v>
      </c>
      <c r="M405" s="41"/>
    </row>
    <row r="406" spans="1:13" ht="33.75" x14ac:dyDescent="0.2">
      <c r="A406" s="10" t="s">
        <v>138</v>
      </c>
      <c r="B406" s="63" t="s">
        <v>597</v>
      </c>
      <c r="C406" s="163" t="s">
        <v>512</v>
      </c>
      <c r="D406" s="45" t="s">
        <v>510</v>
      </c>
      <c r="E406" s="163" t="s">
        <v>573</v>
      </c>
      <c r="F406" s="29" t="s">
        <v>611</v>
      </c>
      <c r="G406" s="4"/>
      <c r="H406" s="73">
        <f>24*125</f>
        <v>3000</v>
      </c>
      <c r="I406" s="14"/>
      <c r="J406" s="28">
        <f>23*52.31+52.12</f>
        <v>1255.25</v>
      </c>
      <c r="K406" s="14"/>
      <c r="L406" s="28">
        <f>J406</f>
        <v>1255.25</v>
      </c>
      <c r="M406" s="4"/>
    </row>
    <row r="407" spans="1:13" s="2" customFormat="1" ht="33.75" x14ac:dyDescent="0.2">
      <c r="A407" s="10" t="s">
        <v>479</v>
      </c>
      <c r="B407" s="63" t="s">
        <v>72</v>
      </c>
      <c r="C407" s="163" t="s">
        <v>521</v>
      </c>
      <c r="D407" s="45" t="s">
        <v>510</v>
      </c>
      <c r="E407" s="163" t="s">
        <v>593</v>
      </c>
      <c r="F407" s="29" t="s">
        <v>611</v>
      </c>
      <c r="G407" s="41"/>
      <c r="H407" s="73">
        <f>24*700</f>
        <v>16800</v>
      </c>
      <c r="I407" s="155"/>
      <c r="J407" s="166">
        <f>8*1000+16*500</f>
        <v>16000</v>
      </c>
      <c r="K407" s="155"/>
      <c r="L407" s="166">
        <f>J407</f>
        <v>16000</v>
      </c>
      <c r="M407" s="41"/>
    </row>
    <row r="408" spans="1:13" s="3" customFormat="1" ht="45" x14ac:dyDescent="0.2">
      <c r="A408" s="10" t="s">
        <v>480</v>
      </c>
      <c r="B408" s="63" t="s">
        <v>45</v>
      </c>
      <c r="C408" s="44" t="s">
        <v>214</v>
      </c>
      <c r="D408" s="45" t="s">
        <v>215</v>
      </c>
      <c r="E408" s="163" t="s">
        <v>529</v>
      </c>
      <c r="F408" s="29" t="s">
        <v>609</v>
      </c>
      <c r="G408" s="36"/>
      <c r="H408" s="73">
        <f>1*1500</f>
        <v>1500</v>
      </c>
      <c r="I408" s="155"/>
      <c r="J408" s="166">
        <v>1320</v>
      </c>
      <c r="K408" s="155"/>
      <c r="L408" s="166"/>
      <c r="M408" s="41"/>
    </row>
    <row r="409" spans="1:13" ht="33.75" x14ac:dyDescent="0.2">
      <c r="A409" s="10" t="s">
        <v>481</v>
      </c>
      <c r="B409" s="63" t="s">
        <v>27</v>
      </c>
      <c r="C409" s="163" t="s">
        <v>531</v>
      </c>
      <c r="D409" s="45" t="s">
        <v>215</v>
      </c>
      <c r="E409" s="163" t="s">
        <v>532</v>
      </c>
      <c r="F409" s="29" t="s">
        <v>609</v>
      </c>
      <c r="G409" s="4"/>
      <c r="H409" s="73">
        <v>12250</v>
      </c>
      <c r="I409" s="14"/>
      <c r="J409" s="28">
        <v>8155</v>
      </c>
      <c r="K409" s="14"/>
      <c r="L409" s="28"/>
      <c r="M409" s="4"/>
    </row>
    <row r="410" spans="1:13" s="3" customFormat="1" ht="25.5" x14ac:dyDescent="0.2">
      <c r="A410" s="108" t="s">
        <v>51</v>
      </c>
      <c r="B410" s="62" t="s">
        <v>108</v>
      </c>
      <c r="C410" s="26"/>
      <c r="D410" s="37"/>
      <c r="E410" s="37"/>
      <c r="F410" s="37"/>
      <c r="G410" s="36"/>
      <c r="H410" s="76">
        <f>H411+H412+H413</f>
        <v>15390</v>
      </c>
      <c r="I410" s="39"/>
      <c r="J410" s="38"/>
      <c r="K410" s="39"/>
      <c r="L410" s="38"/>
      <c r="M410" s="36"/>
    </row>
    <row r="411" spans="1:13" ht="33.75" x14ac:dyDescent="0.2">
      <c r="A411" s="10" t="s">
        <v>276</v>
      </c>
      <c r="B411" s="63" t="s">
        <v>596</v>
      </c>
      <c r="C411" s="163" t="s">
        <v>512</v>
      </c>
      <c r="D411" s="45" t="s">
        <v>510</v>
      </c>
      <c r="E411" s="163" t="s">
        <v>573</v>
      </c>
      <c r="F411" s="29" t="s">
        <v>611</v>
      </c>
      <c r="G411" s="4"/>
      <c r="H411" s="73">
        <f>18*30</f>
        <v>540</v>
      </c>
      <c r="I411" s="14"/>
      <c r="J411" s="28">
        <f>18*6.78</f>
        <v>122.04</v>
      </c>
      <c r="K411" s="14"/>
      <c r="L411" s="28">
        <f>J411</f>
        <v>122.04</v>
      </c>
      <c r="M411" s="4"/>
    </row>
    <row r="412" spans="1:13" ht="33.75" x14ac:dyDescent="0.2">
      <c r="A412" s="10" t="s">
        <v>277</v>
      </c>
      <c r="B412" s="63" t="s">
        <v>597</v>
      </c>
      <c r="C412" s="163" t="s">
        <v>512</v>
      </c>
      <c r="D412" s="45" t="s">
        <v>510</v>
      </c>
      <c r="E412" s="163" t="s">
        <v>573</v>
      </c>
      <c r="F412" s="29" t="s">
        <v>611</v>
      </c>
      <c r="G412" s="4"/>
      <c r="H412" s="73">
        <f>18*125</f>
        <v>2250</v>
      </c>
      <c r="I412" s="14"/>
      <c r="J412" s="28">
        <f>18*56.75</f>
        <v>1021.5</v>
      </c>
      <c r="K412" s="14"/>
      <c r="L412" s="28">
        <f>J412</f>
        <v>1021.5</v>
      </c>
      <c r="M412" s="4"/>
    </row>
    <row r="413" spans="1:13" s="2" customFormat="1" ht="33.75" x14ac:dyDescent="0.2">
      <c r="A413" s="10" t="s">
        <v>482</v>
      </c>
      <c r="B413" s="63" t="s">
        <v>72</v>
      </c>
      <c r="C413" s="163" t="s">
        <v>521</v>
      </c>
      <c r="D413" s="45" t="s">
        <v>510</v>
      </c>
      <c r="E413" s="163" t="s">
        <v>593</v>
      </c>
      <c r="F413" s="29" t="s">
        <v>611</v>
      </c>
      <c r="G413" s="41"/>
      <c r="H413" s="73">
        <f>18*700</f>
        <v>12600</v>
      </c>
      <c r="I413" s="155"/>
      <c r="J413" s="166">
        <f>18*500</f>
        <v>9000</v>
      </c>
      <c r="K413" s="155"/>
      <c r="L413" s="166">
        <f>J413</f>
        <v>9000</v>
      </c>
      <c r="M413" s="41"/>
    </row>
    <row r="414" spans="1:13" ht="25.5" x14ac:dyDescent="0.2">
      <c r="A414" s="108" t="s">
        <v>52</v>
      </c>
      <c r="B414" s="62" t="s">
        <v>109</v>
      </c>
      <c r="C414" s="163"/>
      <c r="D414" s="45"/>
      <c r="E414" s="163"/>
      <c r="F414" s="163"/>
      <c r="G414" s="4"/>
      <c r="H414" s="76">
        <f>H415+H416+H417+H418+H419+H420</f>
        <v>59535</v>
      </c>
      <c r="I414" s="14"/>
      <c r="J414" s="28"/>
      <c r="K414" s="14"/>
      <c r="L414" s="28"/>
      <c r="M414" s="4"/>
    </row>
    <row r="415" spans="1:13" s="2" customFormat="1" ht="33.75" x14ac:dyDescent="0.2">
      <c r="A415" s="10" t="s">
        <v>279</v>
      </c>
      <c r="B415" s="63" t="s">
        <v>72</v>
      </c>
      <c r="C415" s="163" t="s">
        <v>521</v>
      </c>
      <c r="D415" s="45" t="s">
        <v>510</v>
      </c>
      <c r="E415" s="163" t="s">
        <v>593</v>
      </c>
      <c r="F415" s="29" t="s">
        <v>611</v>
      </c>
      <c r="G415" s="41"/>
      <c r="H415" s="73">
        <f>42*700</f>
        <v>29400</v>
      </c>
      <c r="I415" s="155"/>
      <c r="J415" s="166">
        <f>14*1000+30*500</f>
        <v>29000</v>
      </c>
      <c r="K415" s="155"/>
      <c r="L415" s="166">
        <f>J415</f>
        <v>29000</v>
      </c>
      <c r="M415" s="41"/>
    </row>
    <row r="416" spans="1:13" ht="33.75" x14ac:dyDescent="0.2">
      <c r="A416" s="10" t="s">
        <v>280</v>
      </c>
      <c r="B416" s="63" t="s">
        <v>71</v>
      </c>
      <c r="C416" s="163" t="s">
        <v>511</v>
      </c>
      <c r="D416" s="45" t="s">
        <v>215</v>
      </c>
      <c r="E416" s="163" t="s">
        <v>553</v>
      </c>
      <c r="F416" s="29" t="s">
        <v>602</v>
      </c>
      <c r="G416" s="4"/>
      <c r="H416" s="73">
        <v>3000</v>
      </c>
      <c r="I416" s="155"/>
      <c r="J416" s="166">
        <v>1141.5</v>
      </c>
      <c r="K416" s="155"/>
      <c r="L416" s="166">
        <v>1141.5</v>
      </c>
      <c r="M416" s="4"/>
    </row>
    <row r="417" spans="1:13" ht="33.75" x14ac:dyDescent="0.2">
      <c r="A417" s="10" t="s">
        <v>483</v>
      </c>
      <c r="B417" s="63" t="s">
        <v>597</v>
      </c>
      <c r="C417" s="163" t="s">
        <v>512</v>
      </c>
      <c r="D417" s="45" t="s">
        <v>510</v>
      </c>
      <c r="E417" s="163" t="s">
        <v>573</v>
      </c>
      <c r="F417" s="29" t="s">
        <v>611</v>
      </c>
      <c r="G417" s="4"/>
      <c r="H417" s="73">
        <f>33*125</f>
        <v>4125</v>
      </c>
      <c r="I417" s="14"/>
      <c r="J417" s="28">
        <f>33*56.75</f>
        <v>1872.75</v>
      </c>
      <c r="K417" s="14"/>
      <c r="L417" s="28">
        <f>J417</f>
        <v>1872.75</v>
      </c>
      <c r="M417" s="4"/>
    </row>
    <row r="418" spans="1:13" ht="33.75" x14ac:dyDescent="0.2">
      <c r="A418" s="10" t="s">
        <v>484</v>
      </c>
      <c r="B418" s="63" t="s">
        <v>596</v>
      </c>
      <c r="C418" s="163" t="s">
        <v>512</v>
      </c>
      <c r="D418" s="45" t="s">
        <v>510</v>
      </c>
      <c r="E418" s="163" t="s">
        <v>573</v>
      </c>
      <c r="F418" s="29" t="s">
        <v>611</v>
      </c>
      <c r="G418" s="4"/>
      <c r="H418" s="73">
        <f>42*30</f>
        <v>1260</v>
      </c>
      <c r="I418" s="14"/>
      <c r="J418" s="166">
        <f>42*6.78</f>
        <v>284.76</v>
      </c>
      <c r="K418" s="14"/>
      <c r="L418" s="28">
        <f>J418</f>
        <v>284.76</v>
      </c>
      <c r="M418" s="4"/>
    </row>
    <row r="419" spans="1:13" ht="45" x14ac:dyDescent="0.2">
      <c r="A419" s="10" t="s">
        <v>485</v>
      </c>
      <c r="B419" s="220" t="s">
        <v>45</v>
      </c>
      <c r="C419" s="44" t="s">
        <v>214</v>
      </c>
      <c r="D419" s="45" t="s">
        <v>215</v>
      </c>
      <c r="E419" s="163" t="s">
        <v>529</v>
      </c>
      <c r="F419" s="29" t="s">
        <v>609</v>
      </c>
      <c r="G419" s="4"/>
      <c r="H419" s="73">
        <f>1*1500</f>
        <v>1500</v>
      </c>
      <c r="I419" s="14"/>
      <c r="J419" s="28">
        <v>1320</v>
      </c>
      <c r="K419" s="14"/>
      <c r="L419" s="28"/>
      <c r="M419" s="4"/>
    </row>
    <row r="420" spans="1:13" s="3" customFormat="1" ht="33.75" x14ac:dyDescent="0.2">
      <c r="A420" s="8" t="s">
        <v>486</v>
      </c>
      <c r="B420" s="221" t="s">
        <v>27</v>
      </c>
      <c r="C420" s="163" t="s">
        <v>531</v>
      </c>
      <c r="D420" s="45" t="s">
        <v>215</v>
      </c>
      <c r="E420" s="163" t="s">
        <v>532</v>
      </c>
      <c r="F420" s="29" t="s">
        <v>609</v>
      </c>
      <c r="G420" s="36"/>
      <c r="H420" s="73">
        <f>12250+8000</f>
        <v>20250</v>
      </c>
      <c r="I420" s="39"/>
      <c r="J420" s="166">
        <v>13150</v>
      </c>
      <c r="K420" s="39"/>
      <c r="L420" s="38"/>
      <c r="M420" s="36"/>
    </row>
    <row r="421" spans="1:13" ht="25.5" x14ac:dyDescent="0.2">
      <c r="A421" s="108" t="s">
        <v>53</v>
      </c>
      <c r="B421" s="62" t="s">
        <v>110</v>
      </c>
      <c r="C421" s="163"/>
      <c r="D421" s="45"/>
      <c r="E421" s="29"/>
      <c r="F421" s="29"/>
      <c r="G421" s="4"/>
      <c r="H421" s="76">
        <f>H422+H423+H424+H425</f>
        <v>25050</v>
      </c>
      <c r="I421" s="14"/>
      <c r="J421" s="28"/>
      <c r="K421" s="14"/>
      <c r="L421" s="28"/>
      <c r="M421" s="4"/>
    </row>
    <row r="422" spans="1:13" s="2" customFormat="1" ht="33.75" x14ac:dyDescent="0.2">
      <c r="A422" s="10" t="s">
        <v>282</v>
      </c>
      <c r="B422" s="63" t="s">
        <v>72</v>
      </c>
      <c r="C422" s="163" t="s">
        <v>521</v>
      </c>
      <c r="D422" s="45" t="s">
        <v>510</v>
      </c>
      <c r="E422" s="163" t="s">
        <v>593</v>
      </c>
      <c r="F422" s="29" t="s">
        <v>611</v>
      </c>
      <c r="G422" s="41"/>
      <c r="H422" s="73">
        <f>9*700</f>
        <v>6300</v>
      </c>
      <c r="I422" s="155"/>
      <c r="J422" s="166">
        <f>9*500</f>
        <v>4500</v>
      </c>
      <c r="K422" s="155"/>
      <c r="L422" s="166">
        <f>J422</f>
        <v>4500</v>
      </c>
      <c r="M422" s="41"/>
    </row>
    <row r="423" spans="1:13" s="3" customFormat="1" ht="25.5" x14ac:dyDescent="0.2">
      <c r="A423" s="10" t="s">
        <v>487</v>
      </c>
      <c r="B423" s="63" t="s">
        <v>344</v>
      </c>
      <c r="C423" s="26"/>
      <c r="D423" s="37"/>
      <c r="E423" s="37"/>
      <c r="F423" s="29" t="s">
        <v>611</v>
      </c>
      <c r="G423" s="36"/>
      <c r="H423" s="73">
        <v>5000</v>
      </c>
      <c r="I423" s="39"/>
      <c r="J423" s="38"/>
      <c r="K423" s="39"/>
      <c r="L423" s="38"/>
      <c r="M423" s="36"/>
    </row>
    <row r="424" spans="1:13" ht="45" x14ac:dyDescent="0.2">
      <c r="A424" s="10" t="s">
        <v>488</v>
      </c>
      <c r="B424" s="63" t="s">
        <v>45</v>
      </c>
      <c r="C424" s="44" t="s">
        <v>214</v>
      </c>
      <c r="D424" s="45" t="s">
        <v>215</v>
      </c>
      <c r="E424" s="163" t="s">
        <v>529</v>
      </c>
      <c r="F424" s="29" t="s">
        <v>609</v>
      </c>
      <c r="G424" s="4"/>
      <c r="H424" s="73">
        <f>1*1500</f>
        <v>1500</v>
      </c>
      <c r="I424" s="14"/>
      <c r="J424" s="28">
        <v>1320</v>
      </c>
      <c r="K424" s="14"/>
      <c r="L424" s="28"/>
      <c r="M424" s="4"/>
    </row>
    <row r="425" spans="1:13" s="3" customFormat="1" ht="33.75" x14ac:dyDescent="0.2">
      <c r="A425" s="10" t="s">
        <v>489</v>
      </c>
      <c r="B425" s="63" t="s">
        <v>27</v>
      </c>
      <c r="C425" s="163" t="s">
        <v>531</v>
      </c>
      <c r="D425" s="45" t="s">
        <v>215</v>
      </c>
      <c r="E425" s="163" t="s">
        <v>532</v>
      </c>
      <c r="F425" s="29" t="s">
        <v>609</v>
      </c>
      <c r="G425" s="36"/>
      <c r="H425" s="73">
        <v>12250</v>
      </c>
      <c r="I425" s="39"/>
      <c r="J425" s="166">
        <v>8155</v>
      </c>
      <c r="K425" s="39"/>
      <c r="L425" s="38"/>
      <c r="M425" s="36"/>
    </row>
    <row r="426" spans="1:13" ht="25.5" x14ac:dyDescent="0.2">
      <c r="A426" s="108">
        <v>28</v>
      </c>
      <c r="B426" s="62" t="s">
        <v>111</v>
      </c>
      <c r="C426" s="151"/>
      <c r="D426" s="45"/>
      <c r="E426" s="29"/>
      <c r="F426" s="29"/>
      <c r="G426" s="4"/>
      <c r="H426" s="76">
        <f>H427+H428+H429+H430+H431+H432+H433</f>
        <v>85050</v>
      </c>
      <c r="I426" s="14"/>
      <c r="J426" s="28"/>
      <c r="K426" s="14"/>
      <c r="L426" s="28"/>
      <c r="M426" s="4"/>
    </row>
    <row r="427" spans="1:13" s="2" customFormat="1" ht="33.75" x14ac:dyDescent="0.2">
      <c r="A427" s="10" t="s">
        <v>55</v>
      </c>
      <c r="B427" s="63" t="s">
        <v>72</v>
      </c>
      <c r="C427" s="163" t="s">
        <v>521</v>
      </c>
      <c r="D427" s="45" t="s">
        <v>510</v>
      </c>
      <c r="E427" s="163" t="s">
        <v>593</v>
      </c>
      <c r="F427" s="29" t="s">
        <v>611</v>
      </c>
      <c r="G427" s="41"/>
      <c r="H427" s="73">
        <f>60*700</f>
        <v>42000</v>
      </c>
      <c r="I427" s="155"/>
      <c r="J427" s="166">
        <f>22*1000+40*500</f>
        <v>42000</v>
      </c>
      <c r="K427" s="155"/>
      <c r="L427" s="166">
        <f>J427</f>
        <v>42000</v>
      </c>
      <c r="M427" s="41"/>
    </row>
    <row r="428" spans="1:13" s="3" customFormat="1" ht="33.75" x14ac:dyDescent="0.2">
      <c r="A428" s="10" t="s">
        <v>56</v>
      </c>
      <c r="B428" s="63" t="s">
        <v>71</v>
      </c>
      <c r="C428" s="163" t="s">
        <v>511</v>
      </c>
      <c r="D428" s="45" t="s">
        <v>215</v>
      </c>
      <c r="E428" s="163" t="s">
        <v>553</v>
      </c>
      <c r="F428" s="29" t="s">
        <v>602</v>
      </c>
      <c r="G428" s="4"/>
      <c r="H428" s="73">
        <v>3000</v>
      </c>
      <c r="I428" s="155"/>
      <c r="J428" s="166">
        <v>1139.0999999999999</v>
      </c>
      <c r="K428" s="155"/>
      <c r="L428" s="166">
        <v>1139.0999999999999</v>
      </c>
      <c r="M428" s="36"/>
    </row>
    <row r="429" spans="1:13" ht="33.75" x14ac:dyDescent="0.2">
      <c r="A429" s="10" t="s">
        <v>57</v>
      </c>
      <c r="B429" s="63" t="s">
        <v>597</v>
      </c>
      <c r="C429" s="163" t="s">
        <v>512</v>
      </c>
      <c r="D429" s="45" t="s">
        <v>510</v>
      </c>
      <c r="E429" s="163" t="s">
        <v>573</v>
      </c>
      <c r="F429" s="29" t="s">
        <v>611</v>
      </c>
      <c r="G429" s="4"/>
      <c r="H429" s="73">
        <f>60*125</f>
        <v>7500</v>
      </c>
      <c r="I429" s="14"/>
      <c r="J429" s="28">
        <f>60*56.75</f>
        <v>3405</v>
      </c>
      <c r="K429" s="14"/>
      <c r="L429" s="28">
        <f>J429</f>
        <v>3405</v>
      </c>
      <c r="M429" s="4"/>
    </row>
    <row r="430" spans="1:13" s="2" customFormat="1" ht="33.75" x14ac:dyDescent="0.2">
      <c r="A430" s="10" t="s">
        <v>185</v>
      </c>
      <c r="B430" s="63" t="s">
        <v>596</v>
      </c>
      <c r="C430" s="163" t="s">
        <v>512</v>
      </c>
      <c r="D430" s="45" t="s">
        <v>510</v>
      </c>
      <c r="E430" s="163" t="s">
        <v>573</v>
      </c>
      <c r="F430" s="29" t="s">
        <v>611</v>
      </c>
      <c r="G430" s="41"/>
      <c r="H430" s="73">
        <f>60*30</f>
        <v>1800</v>
      </c>
      <c r="I430" s="155"/>
      <c r="J430" s="166">
        <f>60*6.78</f>
        <v>406.8</v>
      </c>
      <c r="K430" s="155"/>
      <c r="L430" s="166">
        <f>J430</f>
        <v>406.8</v>
      </c>
      <c r="M430" s="41"/>
    </row>
    <row r="431" spans="1:13" ht="33.75" x14ac:dyDescent="0.2">
      <c r="A431" s="10" t="s">
        <v>186</v>
      </c>
      <c r="B431" s="63" t="s">
        <v>231</v>
      </c>
      <c r="C431" s="163" t="s">
        <v>512</v>
      </c>
      <c r="D431" s="45" t="s">
        <v>510</v>
      </c>
      <c r="E431" s="163" t="s">
        <v>573</v>
      </c>
      <c r="F431" s="29" t="s">
        <v>611</v>
      </c>
      <c r="G431" s="4"/>
      <c r="H431" s="73">
        <f>18*500</f>
        <v>9000</v>
      </c>
      <c r="I431" s="14"/>
      <c r="J431" s="28">
        <f>18*228.95</f>
        <v>4121.0999999999995</v>
      </c>
      <c r="K431" s="14"/>
      <c r="L431" s="28">
        <f>J431</f>
        <v>4121.0999999999995</v>
      </c>
      <c r="M431" s="4"/>
    </row>
    <row r="432" spans="1:13" ht="45" x14ac:dyDescent="0.2">
      <c r="A432" s="10" t="s">
        <v>187</v>
      </c>
      <c r="B432" s="63" t="s">
        <v>45</v>
      </c>
      <c r="C432" s="44" t="s">
        <v>214</v>
      </c>
      <c r="D432" s="45" t="s">
        <v>215</v>
      </c>
      <c r="E432" s="163" t="s">
        <v>529</v>
      </c>
      <c r="F432" s="29" t="s">
        <v>609</v>
      </c>
      <c r="G432" s="4"/>
      <c r="H432" s="73">
        <f>1*1500</f>
        <v>1500</v>
      </c>
      <c r="I432" s="14"/>
      <c r="J432" s="28">
        <v>1320</v>
      </c>
      <c r="K432" s="14"/>
      <c r="L432" s="28"/>
      <c r="M432" s="4"/>
    </row>
    <row r="433" spans="1:13" s="3" customFormat="1" ht="33.75" x14ac:dyDescent="0.2">
      <c r="A433" s="10" t="s">
        <v>188</v>
      </c>
      <c r="B433" s="63" t="s">
        <v>27</v>
      </c>
      <c r="C433" s="163" t="s">
        <v>531</v>
      </c>
      <c r="D433" s="45" t="s">
        <v>215</v>
      </c>
      <c r="E433" s="163" t="s">
        <v>532</v>
      </c>
      <c r="F433" s="29" t="s">
        <v>609</v>
      </c>
      <c r="G433" s="36"/>
      <c r="H433" s="73">
        <f>12250+8000</f>
        <v>20250</v>
      </c>
      <c r="I433" s="39"/>
      <c r="J433" s="166">
        <v>13150</v>
      </c>
      <c r="K433" s="39"/>
      <c r="L433" s="38"/>
      <c r="M433" s="36"/>
    </row>
    <row r="434" spans="1:13" ht="25.5" x14ac:dyDescent="0.2">
      <c r="A434" s="108">
        <v>29</v>
      </c>
      <c r="B434" s="62" t="s">
        <v>112</v>
      </c>
      <c r="C434" s="163"/>
      <c r="D434" s="45"/>
      <c r="E434" s="163"/>
      <c r="F434" s="163"/>
      <c r="G434" s="4"/>
      <c r="H434" s="76">
        <f>H435</f>
        <v>15000</v>
      </c>
      <c r="I434" s="14"/>
      <c r="J434" s="28"/>
      <c r="K434" s="14"/>
      <c r="L434" s="28"/>
      <c r="M434" s="4"/>
    </row>
    <row r="435" spans="1:13" x14ac:dyDescent="0.2">
      <c r="A435" s="10" t="s">
        <v>59</v>
      </c>
      <c r="B435" s="107" t="s">
        <v>22</v>
      </c>
      <c r="C435" s="151"/>
      <c r="D435" s="29"/>
      <c r="E435" s="29"/>
      <c r="F435" s="29" t="s">
        <v>609</v>
      </c>
      <c r="G435" s="4"/>
      <c r="H435" s="73">
        <v>15000</v>
      </c>
      <c r="I435" s="14"/>
      <c r="J435" s="28"/>
      <c r="K435" s="14"/>
      <c r="L435" s="28"/>
      <c r="M435" s="4"/>
    </row>
    <row r="436" spans="1:13" ht="25.5" x14ac:dyDescent="0.2">
      <c r="A436" s="108">
        <v>30</v>
      </c>
      <c r="B436" s="62" t="s">
        <v>113</v>
      </c>
      <c r="C436" s="151"/>
      <c r="D436" s="29"/>
      <c r="E436" s="29"/>
      <c r="F436" s="29"/>
      <c r="G436" s="4"/>
      <c r="H436" s="76">
        <f>H437</f>
        <v>40000</v>
      </c>
      <c r="I436" s="14"/>
      <c r="J436" s="28"/>
      <c r="K436" s="14"/>
      <c r="L436" s="28"/>
      <c r="M436" s="4"/>
    </row>
    <row r="437" spans="1:13" x14ac:dyDescent="0.2">
      <c r="A437" s="10" t="s">
        <v>286</v>
      </c>
      <c r="B437" s="63" t="s">
        <v>15</v>
      </c>
      <c r="C437" s="151"/>
      <c r="D437" s="29"/>
      <c r="E437" s="29"/>
      <c r="F437" s="29">
        <v>222</v>
      </c>
      <c r="G437" s="4"/>
      <c r="H437" s="73">
        <v>40000</v>
      </c>
      <c r="I437" s="14"/>
      <c r="J437" s="28"/>
      <c r="K437" s="14"/>
      <c r="L437" s="28"/>
      <c r="M437" s="4"/>
    </row>
    <row r="438" spans="1:13" ht="25.5" x14ac:dyDescent="0.2">
      <c r="A438" s="108">
        <v>31</v>
      </c>
      <c r="B438" s="62" t="s">
        <v>114</v>
      </c>
      <c r="C438" s="163"/>
      <c r="D438" s="45"/>
      <c r="E438" s="163"/>
      <c r="F438" s="163"/>
      <c r="G438" s="4"/>
      <c r="H438" s="76">
        <f>H439+H440</f>
        <v>4380</v>
      </c>
      <c r="I438" s="14"/>
      <c r="J438" s="28"/>
      <c r="K438" s="14"/>
      <c r="L438" s="28"/>
      <c r="M438" s="4"/>
    </row>
    <row r="439" spans="1:13" ht="33.75" x14ac:dyDescent="0.2">
      <c r="A439" s="10" t="s">
        <v>144</v>
      </c>
      <c r="B439" s="63" t="s">
        <v>596</v>
      </c>
      <c r="C439" s="163" t="s">
        <v>512</v>
      </c>
      <c r="D439" s="45" t="s">
        <v>510</v>
      </c>
      <c r="E439" s="163" t="s">
        <v>573</v>
      </c>
      <c r="F439" s="29" t="s">
        <v>611</v>
      </c>
      <c r="G439" s="4"/>
      <c r="H439" s="73">
        <f>6*30</f>
        <v>180</v>
      </c>
      <c r="I439" s="14"/>
      <c r="J439" s="166">
        <f>6*6.78</f>
        <v>40.68</v>
      </c>
      <c r="K439" s="14"/>
      <c r="L439" s="28">
        <f>J439</f>
        <v>40.68</v>
      </c>
      <c r="M439" s="4"/>
    </row>
    <row r="440" spans="1:13" s="2" customFormat="1" ht="33.75" x14ac:dyDescent="0.2">
      <c r="A440" s="10" t="s">
        <v>490</v>
      </c>
      <c r="B440" s="63" t="s">
        <v>72</v>
      </c>
      <c r="C440" s="163" t="s">
        <v>521</v>
      </c>
      <c r="D440" s="45" t="s">
        <v>510</v>
      </c>
      <c r="E440" s="163" t="s">
        <v>593</v>
      </c>
      <c r="F440" s="29" t="s">
        <v>611</v>
      </c>
      <c r="G440" s="41"/>
      <c r="H440" s="73">
        <f>6*700</f>
        <v>4200</v>
      </c>
      <c r="I440" s="155"/>
      <c r="J440" s="166">
        <f>8*500</f>
        <v>4000</v>
      </c>
      <c r="K440" s="155"/>
      <c r="L440" s="166">
        <f>J440</f>
        <v>4000</v>
      </c>
      <c r="M440" s="41"/>
    </row>
    <row r="441" spans="1:13" ht="25.5" x14ac:dyDescent="0.2">
      <c r="A441" s="108" t="s">
        <v>189</v>
      </c>
      <c r="B441" s="62" t="s">
        <v>115</v>
      </c>
      <c r="C441" s="163"/>
      <c r="D441" s="45"/>
      <c r="E441" s="29"/>
      <c r="F441" s="29"/>
      <c r="G441" s="4"/>
      <c r="H441" s="76">
        <f>H442+H443+H444+H445</f>
        <v>16390</v>
      </c>
      <c r="I441" s="14"/>
      <c r="J441" s="28"/>
      <c r="K441" s="14"/>
      <c r="L441" s="28"/>
      <c r="M441" s="4"/>
    </row>
    <row r="442" spans="1:13" ht="33.75" x14ac:dyDescent="0.2">
      <c r="A442" s="10" t="s">
        <v>289</v>
      </c>
      <c r="B442" s="63" t="s">
        <v>596</v>
      </c>
      <c r="C442" s="163" t="s">
        <v>512</v>
      </c>
      <c r="D442" s="45" t="s">
        <v>510</v>
      </c>
      <c r="E442" s="163" t="s">
        <v>573</v>
      </c>
      <c r="F442" s="29" t="s">
        <v>611</v>
      </c>
      <c r="G442" s="4"/>
      <c r="H442" s="73">
        <f>18*30</f>
        <v>540</v>
      </c>
      <c r="I442" s="14"/>
      <c r="J442" s="28">
        <f>18*6.78</f>
        <v>122.04</v>
      </c>
      <c r="K442" s="14"/>
      <c r="L442" s="28">
        <f>J442</f>
        <v>122.04</v>
      </c>
      <c r="M442" s="4"/>
    </row>
    <row r="443" spans="1:13" s="2" customFormat="1" ht="33.75" x14ac:dyDescent="0.2">
      <c r="A443" s="10" t="s">
        <v>491</v>
      </c>
      <c r="B443" s="63" t="s">
        <v>597</v>
      </c>
      <c r="C443" s="163" t="s">
        <v>512</v>
      </c>
      <c r="D443" s="45" t="s">
        <v>510</v>
      </c>
      <c r="E443" s="163" t="s">
        <v>573</v>
      </c>
      <c r="F443" s="29" t="s">
        <v>611</v>
      </c>
      <c r="G443" s="41"/>
      <c r="H443" s="73">
        <f>18*125</f>
        <v>2250</v>
      </c>
      <c r="I443" s="155"/>
      <c r="J443" s="166">
        <f>17*56.75+56.54</f>
        <v>1021.29</v>
      </c>
      <c r="K443" s="155"/>
      <c r="L443" s="166">
        <f>J443</f>
        <v>1021.29</v>
      </c>
      <c r="M443" s="41"/>
    </row>
    <row r="444" spans="1:13" ht="33.75" x14ac:dyDescent="0.2">
      <c r="A444" s="10" t="s">
        <v>492</v>
      </c>
      <c r="B444" s="63" t="s">
        <v>231</v>
      </c>
      <c r="C444" s="163" t="s">
        <v>512</v>
      </c>
      <c r="D444" s="45" t="s">
        <v>510</v>
      </c>
      <c r="E444" s="163" t="s">
        <v>573</v>
      </c>
      <c r="F444" s="29" t="s">
        <v>611</v>
      </c>
      <c r="G444" s="4"/>
      <c r="H444" s="73">
        <f>2*500</f>
        <v>1000</v>
      </c>
      <c r="I444" s="14"/>
      <c r="J444" s="28">
        <f>228.95+229.91</f>
        <v>458.86</v>
      </c>
      <c r="K444" s="14"/>
      <c r="L444" s="28">
        <f>J444</f>
        <v>458.86</v>
      </c>
      <c r="M444" s="4"/>
    </row>
    <row r="445" spans="1:13" s="2" customFormat="1" ht="33.75" x14ac:dyDescent="0.2">
      <c r="A445" s="10" t="s">
        <v>493</v>
      </c>
      <c r="B445" s="63" t="s">
        <v>72</v>
      </c>
      <c r="C445" s="163" t="s">
        <v>521</v>
      </c>
      <c r="D445" s="45" t="s">
        <v>510</v>
      </c>
      <c r="E445" s="163" t="s">
        <v>593</v>
      </c>
      <c r="F445" s="29" t="s">
        <v>611</v>
      </c>
      <c r="G445" s="41"/>
      <c r="H445" s="73">
        <f>18*700</f>
        <v>12600</v>
      </c>
      <c r="I445" s="155"/>
      <c r="J445" s="166">
        <f>18*500</f>
        <v>9000</v>
      </c>
      <c r="K445" s="155"/>
      <c r="L445" s="166">
        <f>J445</f>
        <v>9000</v>
      </c>
      <c r="M445" s="41"/>
    </row>
    <row r="446" spans="1:13" x14ac:dyDescent="0.2">
      <c r="A446" s="108" t="s">
        <v>190</v>
      </c>
      <c r="B446" s="62" t="s">
        <v>116</v>
      </c>
      <c r="C446" s="151"/>
      <c r="D446" s="45"/>
      <c r="E446" s="29"/>
      <c r="F446" s="29"/>
      <c r="G446" s="4"/>
      <c r="H446" s="76">
        <f>H447+H448</f>
        <v>4380</v>
      </c>
      <c r="I446" s="14"/>
      <c r="J446" s="28"/>
      <c r="K446" s="14"/>
      <c r="L446" s="28"/>
      <c r="M446" s="4"/>
    </row>
    <row r="447" spans="1:13" ht="33.75" x14ac:dyDescent="0.2">
      <c r="A447" s="10" t="s">
        <v>61</v>
      </c>
      <c r="B447" s="63" t="s">
        <v>596</v>
      </c>
      <c r="C447" s="163" t="s">
        <v>512</v>
      </c>
      <c r="D447" s="45" t="s">
        <v>510</v>
      </c>
      <c r="E447" s="163" t="s">
        <v>573</v>
      </c>
      <c r="F447" s="29" t="s">
        <v>611</v>
      </c>
      <c r="G447" s="4"/>
      <c r="H447" s="73">
        <f>6*30</f>
        <v>180</v>
      </c>
      <c r="I447" s="14"/>
      <c r="J447" s="28">
        <f>6*6.78</f>
        <v>40.68</v>
      </c>
      <c r="K447" s="14"/>
      <c r="L447" s="28">
        <f>J447</f>
        <v>40.68</v>
      </c>
      <c r="M447" s="4"/>
    </row>
    <row r="448" spans="1:13" s="2" customFormat="1" ht="33.75" x14ac:dyDescent="0.2">
      <c r="A448" s="10" t="s">
        <v>494</v>
      </c>
      <c r="B448" s="63" t="s">
        <v>72</v>
      </c>
      <c r="C448" s="163" t="s">
        <v>521</v>
      </c>
      <c r="D448" s="45" t="s">
        <v>510</v>
      </c>
      <c r="E448" s="163" t="s">
        <v>593</v>
      </c>
      <c r="F448" s="29" t="s">
        <v>611</v>
      </c>
      <c r="G448" s="41"/>
      <c r="H448" s="73">
        <f>6*700</f>
        <v>4200</v>
      </c>
      <c r="I448" s="155"/>
      <c r="J448" s="166">
        <f>8*500</f>
        <v>4000</v>
      </c>
      <c r="K448" s="155"/>
      <c r="L448" s="166">
        <f>J448</f>
        <v>4000</v>
      </c>
      <c r="M448" s="41"/>
    </row>
    <row r="449" spans="1:13" x14ac:dyDescent="0.2">
      <c r="A449" s="108" t="s">
        <v>97</v>
      </c>
      <c r="B449" s="62" t="s">
        <v>22</v>
      </c>
      <c r="C449" s="163"/>
      <c r="D449" s="45"/>
      <c r="E449" s="163"/>
      <c r="F449" s="29" t="s">
        <v>609</v>
      </c>
      <c r="G449" s="4"/>
      <c r="H449" s="76">
        <v>75000</v>
      </c>
      <c r="I449" s="14"/>
      <c r="J449" s="28"/>
      <c r="K449" s="14"/>
      <c r="L449" s="28"/>
      <c r="M449" s="4"/>
    </row>
    <row r="450" spans="1:13" ht="25.5" x14ac:dyDescent="0.2">
      <c r="A450" s="108" t="s">
        <v>62</v>
      </c>
      <c r="B450" s="62" t="s">
        <v>117</v>
      </c>
      <c r="C450" s="163"/>
      <c r="D450" s="45"/>
      <c r="E450" s="163"/>
      <c r="F450" s="29" t="s">
        <v>609</v>
      </c>
      <c r="G450" s="4"/>
      <c r="H450" s="76">
        <v>15000</v>
      </c>
      <c r="I450" s="14"/>
      <c r="J450" s="28"/>
      <c r="K450" s="14"/>
      <c r="L450" s="28"/>
      <c r="M450" s="4"/>
    </row>
    <row r="451" spans="1:13" ht="25.5" x14ac:dyDescent="0.2">
      <c r="A451" s="108" t="s">
        <v>63</v>
      </c>
      <c r="B451" s="62" t="s">
        <v>118</v>
      </c>
      <c r="C451" s="163"/>
      <c r="D451" s="45"/>
      <c r="E451" s="163"/>
      <c r="F451" s="163"/>
      <c r="G451" s="4"/>
      <c r="H451" s="76">
        <f>H452</f>
        <v>35000</v>
      </c>
      <c r="I451" s="14"/>
      <c r="J451" s="28"/>
      <c r="K451" s="14"/>
      <c r="L451" s="28"/>
      <c r="M451" s="4"/>
    </row>
    <row r="452" spans="1:13" s="3" customFormat="1" x14ac:dyDescent="0.2">
      <c r="A452" s="10" t="s">
        <v>295</v>
      </c>
      <c r="B452" s="63" t="s">
        <v>15</v>
      </c>
      <c r="C452" s="26"/>
      <c r="D452" s="37"/>
      <c r="E452" s="37"/>
      <c r="F452" s="37">
        <v>222</v>
      </c>
      <c r="G452" s="36"/>
      <c r="H452" s="73">
        <v>35000</v>
      </c>
      <c r="I452" s="39"/>
      <c r="J452" s="38"/>
      <c r="K452" s="39"/>
      <c r="L452" s="38"/>
      <c r="M452" s="36"/>
    </row>
    <row r="453" spans="1:13" ht="129.75" customHeight="1" x14ac:dyDescent="0.2">
      <c r="A453" s="108" t="s">
        <v>64</v>
      </c>
      <c r="B453" s="62" t="s">
        <v>191</v>
      </c>
      <c r="C453" s="44" t="s">
        <v>556</v>
      </c>
      <c r="D453" s="45" t="s">
        <v>557</v>
      </c>
      <c r="E453" s="163" t="s">
        <v>599</v>
      </c>
      <c r="F453" s="29" t="s">
        <v>609</v>
      </c>
      <c r="G453" s="4"/>
      <c r="H453" s="76">
        <v>3688500</v>
      </c>
      <c r="I453" s="14"/>
      <c r="J453" s="28">
        <f>3438500+21000</f>
        <v>3459500</v>
      </c>
      <c r="K453" s="14"/>
      <c r="L453" s="28">
        <f>603000+3150+301500+356500+370000+8700+4950+4200</f>
        <v>1652000</v>
      </c>
      <c r="M453" s="4"/>
    </row>
    <row r="454" spans="1:13" x14ac:dyDescent="0.2">
      <c r="A454" s="109" t="s">
        <v>65</v>
      </c>
      <c r="B454" s="68" t="s">
        <v>192</v>
      </c>
      <c r="C454" s="163"/>
      <c r="D454" s="45"/>
      <c r="E454" s="163"/>
      <c r="F454" s="163">
        <v>224</v>
      </c>
      <c r="G454" s="4"/>
      <c r="H454" s="119"/>
      <c r="I454" s="14"/>
      <c r="J454" s="28"/>
      <c r="K454" s="14"/>
      <c r="L454" s="28"/>
      <c r="M454" s="40"/>
    </row>
    <row r="455" spans="1:13" ht="102" customHeight="1" x14ac:dyDescent="0.2">
      <c r="A455" s="108" t="s">
        <v>148</v>
      </c>
      <c r="B455" s="167" t="s">
        <v>495</v>
      </c>
      <c r="C455" s="44" t="s">
        <v>214</v>
      </c>
      <c r="D455" s="45" t="s">
        <v>215</v>
      </c>
      <c r="E455" s="163" t="s">
        <v>600</v>
      </c>
      <c r="F455" s="29" t="s">
        <v>609</v>
      </c>
      <c r="G455" s="4"/>
      <c r="H455" s="76">
        <v>1000000</v>
      </c>
      <c r="I455" s="14"/>
      <c r="J455" s="28">
        <f>174262.46+814970.25</f>
        <v>989232.71</v>
      </c>
      <c r="K455" s="14"/>
      <c r="L455" s="28">
        <f>174262.46+85396.25+123099.5+116654.5</f>
        <v>499412.70999999996</v>
      </c>
      <c r="M455" s="4"/>
    </row>
    <row r="456" spans="1:13" ht="79.5" customHeight="1" x14ac:dyDescent="0.2">
      <c r="A456" s="108" t="s">
        <v>66</v>
      </c>
      <c r="B456" s="167" t="s">
        <v>624</v>
      </c>
      <c r="C456" s="44"/>
      <c r="D456" s="45"/>
      <c r="E456" s="163"/>
      <c r="F456" s="29" t="s">
        <v>625</v>
      </c>
      <c r="G456" s="4"/>
      <c r="H456" s="76">
        <v>17000</v>
      </c>
      <c r="I456" s="14"/>
      <c r="J456" s="28"/>
      <c r="K456" s="14"/>
      <c r="L456" s="28"/>
      <c r="M456" s="4"/>
    </row>
    <row r="457" spans="1:13" s="3" customFormat="1" ht="24" customHeight="1" thickBot="1" x14ac:dyDescent="0.25">
      <c r="A457" s="222"/>
      <c r="B457" s="190" t="s">
        <v>496</v>
      </c>
      <c r="C457" s="223"/>
      <c r="D457" s="181"/>
      <c r="E457" s="181"/>
      <c r="F457" s="181"/>
      <c r="G457" s="224"/>
      <c r="H457" s="194">
        <f>H311+H318+H327+H320+H330+H333+H336+H344+H346+H349+H351+H356+H358+H361+H366+H370+H374+H377+H384+H390+H392+H395+H399+H404+H410+H414+H421+H426+H434+H436+H438+H441+H446+H449+H450+H451+H453+H455+H456</f>
        <v>6354090</v>
      </c>
      <c r="I457" s="225"/>
      <c r="J457" s="196">
        <f>SUM(J312:J455)</f>
        <v>4982840.3</v>
      </c>
      <c r="K457" s="225"/>
      <c r="L457" s="197">
        <f>SUM(L312:L455)</f>
        <v>2568945.2999999998</v>
      </c>
      <c r="M457" s="224"/>
    </row>
    <row r="458" spans="1:13" ht="51" x14ac:dyDescent="0.2">
      <c r="A458" s="83" t="s">
        <v>497</v>
      </c>
      <c r="B458" s="84" t="s">
        <v>498</v>
      </c>
      <c r="C458" s="152"/>
      <c r="D458" s="60"/>
      <c r="E458" s="58"/>
      <c r="F458" s="58"/>
      <c r="G458" s="32"/>
      <c r="H458" s="120"/>
      <c r="I458" s="61"/>
      <c r="J458" s="57"/>
      <c r="K458" s="61"/>
      <c r="L458" s="57"/>
      <c r="M458" s="32"/>
    </row>
    <row r="459" spans="1:13" s="3" customFormat="1" ht="36" x14ac:dyDescent="0.2">
      <c r="A459" s="110" t="s">
        <v>160</v>
      </c>
      <c r="B459" s="111" t="s">
        <v>499</v>
      </c>
      <c r="C459" s="26"/>
      <c r="D459" s="37"/>
      <c r="E459" s="37"/>
      <c r="F459" s="37"/>
      <c r="G459" s="36"/>
      <c r="H459" s="121">
        <f>SUM(H460)</f>
        <v>350000</v>
      </c>
      <c r="I459" s="39"/>
      <c r="J459" s="38"/>
      <c r="K459" s="39"/>
      <c r="L459" s="38"/>
      <c r="M459" s="36"/>
    </row>
    <row r="460" spans="1:13" ht="24" x14ac:dyDescent="0.2">
      <c r="A460" s="112" t="s">
        <v>10</v>
      </c>
      <c r="B460" s="113" t="s">
        <v>500</v>
      </c>
      <c r="C460" s="163"/>
      <c r="D460" s="45"/>
      <c r="E460" s="163"/>
      <c r="F460" s="163">
        <v>290</v>
      </c>
      <c r="G460" s="4"/>
      <c r="H460" s="73">
        <v>350000</v>
      </c>
      <c r="I460" s="14"/>
      <c r="J460" s="28"/>
      <c r="K460" s="14"/>
      <c r="L460" s="28"/>
      <c r="M460" s="4"/>
    </row>
    <row r="461" spans="1:13" x14ac:dyDescent="0.2">
      <c r="A461" s="110" t="s">
        <v>18</v>
      </c>
      <c r="B461" s="62" t="s">
        <v>501</v>
      </c>
      <c r="C461" s="163"/>
      <c r="D461" s="45"/>
      <c r="E461" s="163"/>
      <c r="F461" s="163"/>
      <c r="G461" s="4"/>
      <c r="H461" s="72">
        <f>H462+H463+H464+H465+H466</f>
        <v>75600</v>
      </c>
      <c r="I461" s="14"/>
      <c r="J461" s="28"/>
      <c r="K461" s="14"/>
      <c r="L461" s="28"/>
      <c r="M461" s="4"/>
    </row>
    <row r="462" spans="1:13" s="3" customFormat="1" x14ac:dyDescent="0.2">
      <c r="A462" s="112" t="s">
        <v>19</v>
      </c>
      <c r="B462" s="63" t="s">
        <v>224</v>
      </c>
      <c r="C462" s="26"/>
      <c r="D462" s="37"/>
      <c r="E462" s="37"/>
      <c r="F462" s="37">
        <v>226</v>
      </c>
      <c r="G462" s="36"/>
      <c r="H462" s="73">
        <v>6000</v>
      </c>
      <c r="I462" s="39"/>
      <c r="J462" s="38"/>
      <c r="K462" s="39"/>
      <c r="L462" s="38"/>
      <c r="M462" s="36"/>
    </row>
    <row r="463" spans="1:13" ht="33.75" x14ac:dyDescent="0.2">
      <c r="A463" s="112" t="s">
        <v>502</v>
      </c>
      <c r="B463" s="63" t="s">
        <v>231</v>
      </c>
      <c r="C463" s="163" t="s">
        <v>512</v>
      </c>
      <c r="D463" s="45" t="s">
        <v>510</v>
      </c>
      <c r="E463" s="163" t="s">
        <v>573</v>
      </c>
      <c r="F463" s="163">
        <v>296</v>
      </c>
      <c r="G463" s="4"/>
      <c r="H463" s="73">
        <f>10*30</f>
        <v>300</v>
      </c>
      <c r="I463" s="14"/>
      <c r="J463" s="28">
        <v>67.8</v>
      </c>
      <c r="K463" s="14"/>
      <c r="L463" s="28">
        <v>67.8</v>
      </c>
      <c r="M463" s="4"/>
    </row>
    <row r="464" spans="1:13" ht="33.75" x14ac:dyDescent="0.2">
      <c r="A464" s="112" t="s">
        <v>503</v>
      </c>
      <c r="B464" s="63" t="s">
        <v>231</v>
      </c>
      <c r="C464" s="163" t="s">
        <v>512</v>
      </c>
      <c r="D464" s="45" t="s">
        <v>510</v>
      </c>
      <c r="E464" s="163" t="s">
        <v>573</v>
      </c>
      <c r="F464" s="163">
        <v>296</v>
      </c>
      <c r="G464" s="4"/>
      <c r="H464" s="73">
        <f>10*30</f>
        <v>300</v>
      </c>
      <c r="I464" s="14"/>
      <c r="J464" s="28">
        <v>67.8</v>
      </c>
      <c r="K464" s="14"/>
      <c r="L464" s="28">
        <v>67.8</v>
      </c>
      <c r="M464" s="4"/>
    </row>
    <row r="465" spans="1:13" ht="25.5" x14ac:dyDescent="0.2">
      <c r="A465" s="112" t="s">
        <v>504</v>
      </c>
      <c r="B465" s="63" t="s">
        <v>505</v>
      </c>
      <c r="C465" s="163"/>
      <c r="D465" s="45"/>
      <c r="E465" s="29"/>
      <c r="F465" s="29">
        <v>226</v>
      </c>
      <c r="G465" s="4"/>
      <c r="H465" s="73">
        <v>20000</v>
      </c>
      <c r="I465" s="14"/>
      <c r="J465" s="28"/>
      <c r="K465" s="14"/>
      <c r="L465" s="28"/>
      <c r="M465" s="4"/>
    </row>
    <row r="466" spans="1:13" ht="33.75" x14ac:dyDescent="0.2">
      <c r="A466" s="114" t="s">
        <v>506</v>
      </c>
      <c r="B466" s="91" t="s">
        <v>27</v>
      </c>
      <c r="C466" s="175" t="s">
        <v>531</v>
      </c>
      <c r="D466" s="176" t="s">
        <v>215</v>
      </c>
      <c r="E466" s="175" t="s">
        <v>532</v>
      </c>
      <c r="F466" s="175">
        <v>226</v>
      </c>
      <c r="G466" s="173"/>
      <c r="H466" s="77">
        <f>1*49000</f>
        <v>49000</v>
      </c>
      <c r="I466" s="174"/>
      <c r="J466" s="226">
        <v>33830</v>
      </c>
      <c r="K466" s="174"/>
      <c r="L466" s="226"/>
      <c r="M466" s="173"/>
    </row>
    <row r="467" spans="1:13" x14ac:dyDescent="0.2">
      <c r="A467" s="10" t="s">
        <v>623</v>
      </c>
      <c r="B467" s="63" t="s">
        <v>622</v>
      </c>
      <c r="C467" s="163"/>
      <c r="D467" s="45"/>
      <c r="E467" s="163"/>
      <c r="F467" s="163">
        <v>340</v>
      </c>
      <c r="G467" s="4"/>
      <c r="H467" s="73">
        <v>4560</v>
      </c>
      <c r="I467" s="14"/>
      <c r="J467" s="28"/>
      <c r="K467" s="14"/>
      <c r="L467" s="28"/>
      <c r="M467" s="4"/>
    </row>
    <row r="468" spans="1:13" ht="26.25" customHeight="1" thickBot="1" x14ac:dyDescent="0.25">
      <c r="A468" s="222"/>
      <c r="B468" s="190" t="s">
        <v>496</v>
      </c>
      <c r="C468" s="178"/>
      <c r="D468" s="192"/>
      <c r="E468" s="182"/>
      <c r="F468" s="227"/>
      <c r="G468" s="193"/>
      <c r="H468" s="194">
        <f>H459+H461+H467</f>
        <v>430160</v>
      </c>
      <c r="I468" s="195"/>
      <c r="J468" s="196">
        <f>SUM(J460:J466)</f>
        <v>33965.599999999999</v>
      </c>
      <c r="K468" s="195"/>
      <c r="L468" s="228">
        <f>SUM(L459:L467)</f>
        <v>135.6</v>
      </c>
      <c r="M468" s="193"/>
    </row>
    <row r="469" spans="1:13" ht="108" customHeight="1" x14ac:dyDescent="0.2">
      <c r="A469" s="83" t="s">
        <v>507</v>
      </c>
      <c r="B469" s="115" t="s">
        <v>508</v>
      </c>
      <c r="C469" s="47"/>
      <c r="D469" s="48"/>
      <c r="E469" s="47"/>
      <c r="F469" s="47"/>
      <c r="G469" s="31"/>
      <c r="H469" s="122"/>
      <c r="I469" s="5"/>
      <c r="J469" s="229"/>
      <c r="K469" s="5"/>
      <c r="L469" s="229"/>
      <c r="M469" s="31"/>
    </row>
    <row r="470" spans="1:13" ht="39.75" customHeight="1" thickBot="1" x14ac:dyDescent="0.25">
      <c r="A470" s="116" t="s">
        <v>509</v>
      </c>
      <c r="B470" s="117" t="s">
        <v>193</v>
      </c>
      <c r="C470" s="49" t="s">
        <v>559</v>
      </c>
      <c r="D470" s="46" t="s">
        <v>557</v>
      </c>
      <c r="E470" s="30" t="s">
        <v>558</v>
      </c>
      <c r="F470" s="30"/>
      <c r="G470" s="11"/>
      <c r="H470" s="123">
        <v>1500000</v>
      </c>
      <c r="I470" s="13"/>
      <c r="J470" s="171">
        <v>1174300</v>
      </c>
      <c r="K470" s="13"/>
      <c r="L470" s="171">
        <v>693650</v>
      </c>
      <c r="M470" s="11"/>
    </row>
    <row r="471" spans="1:13" s="3" customFormat="1" ht="16.5" customHeight="1" thickBot="1" x14ac:dyDescent="0.25">
      <c r="A471" s="198"/>
      <c r="B471" s="199" t="s">
        <v>496</v>
      </c>
      <c r="C471" s="230"/>
      <c r="D471" s="183"/>
      <c r="E471" s="183"/>
      <c r="F471" s="183"/>
      <c r="G471" s="231"/>
      <c r="H471" s="232">
        <f>SUM(H470)</f>
        <v>1500000</v>
      </c>
      <c r="I471" s="233"/>
      <c r="J471" s="204">
        <f>SUM(J470)</f>
        <v>1174300</v>
      </c>
      <c r="K471" s="233"/>
      <c r="L471" s="205">
        <f>L470</f>
        <v>693650</v>
      </c>
      <c r="M471" s="231"/>
    </row>
    <row r="472" spans="1:13" ht="19.5" customHeight="1" thickBot="1" x14ac:dyDescent="0.3">
      <c r="A472" s="198"/>
      <c r="B472" s="234" t="s">
        <v>119</v>
      </c>
      <c r="C472" s="180"/>
      <c r="D472" s="200"/>
      <c r="E472" s="180"/>
      <c r="F472" s="180"/>
      <c r="G472" s="235">
        <f>G309</f>
        <v>3613100</v>
      </c>
      <c r="H472" s="232">
        <f>H214+H247+H301+H305+H457+H468+H471</f>
        <v>49028401.57</v>
      </c>
      <c r="I472" s="204">
        <f>I309</f>
        <v>967676.54</v>
      </c>
      <c r="J472" s="204">
        <f>J214+J247+J301+J305+J309+J457+J468+J471</f>
        <v>23589470.130000003</v>
      </c>
      <c r="K472" s="204">
        <f>K309</f>
        <v>967676.54</v>
      </c>
      <c r="L472" s="205">
        <f>L214+L247+L301+L457+L468+L470</f>
        <v>17403324.009999998</v>
      </c>
      <c r="M472" s="201"/>
    </row>
    <row r="473" spans="1:13" s="129" customFormat="1" x14ac:dyDescent="0.2">
      <c r="A473" s="124"/>
      <c r="B473" s="125"/>
      <c r="C473" s="126"/>
      <c r="D473" s="127"/>
      <c r="E473" s="128"/>
      <c r="F473" s="128"/>
      <c r="H473" s="15"/>
      <c r="I473" s="104"/>
      <c r="J473" s="15"/>
      <c r="K473" s="104"/>
      <c r="L473" s="15"/>
    </row>
    <row r="474" spans="1:13" s="129" customFormat="1" x14ac:dyDescent="0.2">
      <c r="A474" s="124"/>
      <c r="B474" s="125"/>
      <c r="C474" s="130"/>
      <c r="D474" s="127"/>
      <c r="E474" s="126"/>
      <c r="F474" s="126"/>
      <c r="H474" s="15"/>
      <c r="I474" s="104"/>
      <c r="J474" s="15"/>
      <c r="K474" s="104"/>
      <c r="L474" s="15"/>
    </row>
    <row r="475" spans="1:13" s="135" customFormat="1" x14ac:dyDescent="0.2">
      <c r="A475" s="131"/>
      <c r="B475" s="132"/>
      <c r="C475" s="153"/>
      <c r="D475" s="134"/>
      <c r="E475" s="134"/>
      <c r="F475" s="134"/>
      <c r="H475" s="136"/>
      <c r="I475" s="137"/>
      <c r="J475" s="136"/>
      <c r="K475" s="137"/>
      <c r="L475" s="136"/>
    </row>
    <row r="476" spans="1:13" s="129" customFormat="1" x14ac:dyDescent="0.2">
      <c r="A476" s="124"/>
      <c r="B476" s="125"/>
      <c r="C476" s="154"/>
      <c r="D476" s="127"/>
      <c r="E476" s="128"/>
      <c r="F476" s="128"/>
      <c r="H476" s="15"/>
      <c r="I476" s="104"/>
      <c r="J476" s="15"/>
      <c r="K476" s="104"/>
      <c r="L476" s="15"/>
    </row>
    <row r="477" spans="1:13" s="135" customFormat="1" x14ac:dyDescent="0.2">
      <c r="A477" s="138"/>
      <c r="B477" s="132"/>
      <c r="C477" s="153"/>
      <c r="D477" s="134"/>
      <c r="E477" s="134"/>
      <c r="F477" s="134"/>
      <c r="H477" s="136"/>
      <c r="I477" s="137"/>
      <c r="J477" s="136"/>
      <c r="K477" s="137"/>
      <c r="L477" s="136"/>
    </row>
    <row r="478" spans="1:13" s="129" customFormat="1" x14ac:dyDescent="0.2">
      <c r="A478" s="124"/>
      <c r="B478" s="125"/>
      <c r="C478" s="126"/>
      <c r="D478" s="127"/>
      <c r="E478" s="126"/>
      <c r="F478" s="126"/>
      <c r="H478" s="15"/>
      <c r="I478" s="104"/>
      <c r="J478" s="15"/>
      <c r="K478" s="104"/>
      <c r="L478" s="15"/>
    </row>
    <row r="479" spans="1:13" s="129" customFormat="1" x14ac:dyDescent="0.2">
      <c r="A479" s="124"/>
      <c r="B479" s="125"/>
      <c r="C479" s="126"/>
      <c r="D479" s="127"/>
      <c r="E479" s="128"/>
      <c r="F479" s="128"/>
      <c r="H479" s="15"/>
      <c r="I479" s="104"/>
      <c r="J479" s="15"/>
      <c r="K479" s="104"/>
      <c r="L479" s="15"/>
    </row>
    <row r="480" spans="1:13" s="129" customFormat="1" x14ac:dyDescent="0.2">
      <c r="A480" s="124"/>
      <c r="B480" s="125"/>
      <c r="C480" s="126"/>
      <c r="D480" s="127"/>
      <c r="E480" s="139"/>
      <c r="F480" s="126"/>
      <c r="H480" s="15"/>
      <c r="I480" s="104"/>
      <c r="J480" s="236"/>
      <c r="K480" s="104"/>
      <c r="L480" s="15"/>
    </row>
    <row r="481" spans="1:14" s="129" customFormat="1" x14ac:dyDescent="0.2">
      <c r="A481" s="124"/>
      <c r="B481" s="125"/>
      <c r="C481" s="126"/>
      <c r="D481" s="127"/>
      <c r="E481" s="140"/>
      <c r="F481" s="128"/>
      <c r="H481" s="15"/>
      <c r="I481" s="104"/>
      <c r="J481" s="236"/>
      <c r="K481" s="104"/>
      <c r="L481" s="15"/>
    </row>
    <row r="482" spans="1:14" s="129" customFormat="1" x14ac:dyDescent="0.2">
      <c r="A482" s="124"/>
      <c r="B482" s="125"/>
      <c r="C482" s="126"/>
      <c r="D482" s="127"/>
      <c r="E482" s="140"/>
      <c r="F482" s="128"/>
      <c r="H482" s="15"/>
      <c r="I482" s="104"/>
      <c r="J482" s="236"/>
      <c r="K482" s="104"/>
      <c r="L482" s="15"/>
    </row>
    <row r="483" spans="1:14" s="129" customFormat="1" x14ac:dyDescent="0.2">
      <c r="A483" s="124"/>
      <c r="B483" s="125"/>
      <c r="C483" s="126"/>
      <c r="D483" s="127"/>
      <c r="E483" s="126"/>
      <c r="F483" s="126"/>
      <c r="H483" s="15"/>
      <c r="I483" s="104"/>
      <c r="J483" s="15"/>
      <c r="K483" s="104"/>
      <c r="L483" s="15"/>
    </row>
    <row r="484" spans="1:14" s="129" customFormat="1" x14ac:dyDescent="0.2">
      <c r="A484" s="124"/>
      <c r="B484" s="125"/>
      <c r="C484" s="130"/>
      <c r="D484" s="127"/>
      <c r="E484" s="126"/>
      <c r="F484" s="126"/>
      <c r="H484" s="15"/>
      <c r="I484" s="104"/>
      <c r="J484" s="15"/>
      <c r="K484" s="104"/>
      <c r="L484" s="15"/>
    </row>
    <row r="485" spans="1:14" s="135" customFormat="1" x14ac:dyDescent="0.2">
      <c r="A485" s="138"/>
      <c r="B485" s="132"/>
      <c r="C485" s="153"/>
      <c r="D485" s="134"/>
      <c r="E485" s="134"/>
      <c r="F485" s="134"/>
      <c r="H485" s="136"/>
      <c r="I485" s="137"/>
      <c r="J485" s="136"/>
      <c r="K485" s="137"/>
      <c r="L485" s="136"/>
    </row>
    <row r="486" spans="1:14" s="129" customFormat="1" x14ac:dyDescent="0.2">
      <c r="A486" s="124"/>
      <c r="B486" s="125"/>
      <c r="C486" s="154"/>
      <c r="D486" s="127"/>
      <c r="E486" s="128"/>
      <c r="F486" s="128"/>
      <c r="H486" s="15"/>
      <c r="I486" s="104"/>
      <c r="J486" s="15"/>
      <c r="K486" s="104"/>
      <c r="L486" s="15"/>
    </row>
    <row r="487" spans="1:14" s="135" customFormat="1" x14ac:dyDescent="0.2">
      <c r="A487" s="138"/>
      <c r="B487" s="132"/>
      <c r="C487" s="153"/>
      <c r="D487" s="134"/>
      <c r="E487" s="134"/>
      <c r="F487" s="134"/>
      <c r="H487" s="136"/>
      <c r="I487" s="137"/>
      <c r="J487" s="136"/>
      <c r="K487" s="137"/>
      <c r="L487" s="136"/>
    </row>
    <row r="488" spans="1:14" s="129" customFormat="1" x14ac:dyDescent="0.2">
      <c r="A488" s="124"/>
      <c r="B488" s="125"/>
      <c r="C488" s="126"/>
      <c r="D488" s="128"/>
      <c r="E488" s="128"/>
      <c r="F488" s="128"/>
      <c r="H488" s="15"/>
      <c r="I488" s="104"/>
      <c r="J488" s="15"/>
      <c r="K488" s="104"/>
      <c r="L488" s="15"/>
    </row>
    <row r="489" spans="1:14" s="135" customFormat="1" x14ac:dyDescent="0.2">
      <c r="A489" s="138"/>
      <c r="B489" s="132"/>
      <c r="C489" s="153"/>
      <c r="D489" s="134"/>
      <c r="E489" s="134"/>
      <c r="F489" s="134"/>
      <c r="H489" s="136"/>
      <c r="I489" s="137"/>
      <c r="J489" s="136"/>
      <c r="K489" s="137"/>
      <c r="L489" s="136"/>
    </row>
    <row r="490" spans="1:14" s="129" customFormat="1" x14ac:dyDescent="0.2">
      <c r="A490" s="124"/>
      <c r="B490" s="125"/>
      <c r="C490" s="126"/>
      <c r="D490" s="127"/>
      <c r="E490" s="126"/>
      <c r="F490" s="126"/>
      <c r="H490" s="15"/>
      <c r="I490" s="104"/>
      <c r="J490" s="15"/>
      <c r="K490" s="104"/>
      <c r="L490" s="15"/>
    </row>
    <row r="491" spans="1:14" s="135" customFormat="1" x14ac:dyDescent="0.2">
      <c r="A491" s="131"/>
      <c r="B491" s="132"/>
      <c r="C491" s="153"/>
      <c r="D491" s="134"/>
      <c r="E491" s="134"/>
      <c r="F491" s="134"/>
      <c r="H491" s="136"/>
      <c r="I491" s="137"/>
      <c r="J491" s="136"/>
      <c r="K491" s="137"/>
      <c r="L491" s="136"/>
    </row>
    <row r="492" spans="1:14" s="129" customFormat="1" x14ac:dyDescent="0.2">
      <c r="A492" s="124"/>
      <c r="B492" s="125"/>
      <c r="C492" s="126"/>
      <c r="D492" s="127"/>
      <c r="E492" s="126"/>
      <c r="F492" s="126"/>
      <c r="H492" s="15"/>
      <c r="I492" s="104"/>
      <c r="J492" s="15"/>
      <c r="K492" s="104"/>
      <c r="L492" s="15"/>
    </row>
    <row r="493" spans="1:14" s="129" customFormat="1" x14ac:dyDescent="0.2">
      <c r="A493" s="124"/>
      <c r="B493" s="125"/>
      <c r="C493" s="126"/>
      <c r="D493" s="127"/>
      <c r="E493" s="126"/>
      <c r="F493" s="126"/>
      <c r="H493" s="15"/>
      <c r="I493" s="104"/>
      <c r="J493" s="15"/>
      <c r="K493" s="104"/>
      <c r="L493" s="15"/>
    </row>
    <row r="494" spans="1:14" s="135" customFormat="1" x14ac:dyDescent="0.2">
      <c r="A494" s="131"/>
      <c r="B494" s="132"/>
      <c r="C494" s="153"/>
      <c r="D494" s="134"/>
      <c r="E494" s="134"/>
      <c r="F494" s="134"/>
      <c r="H494" s="136"/>
      <c r="I494" s="137"/>
      <c r="J494" s="136"/>
      <c r="K494" s="137"/>
      <c r="L494" s="136"/>
    </row>
    <row r="495" spans="1:14" s="129" customFormat="1" x14ac:dyDescent="0.2">
      <c r="A495" s="124"/>
      <c r="B495" s="125"/>
      <c r="C495" s="126"/>
      <c r="D495" s="127"/>
      <c r="E495" s="126"/>
      <c r="F495" s="126"/>
      <c r="H495" s="15"/>
      <c r="I495" s="104"/>
      <c r="J495" s="15"/>
      <c r="K495" s="104"/>
      <c r="L495" s="15"/>
      <c r="N495" s="141"/>
    </row>
    <row r="496" spans="1:14" s="135" customFormat="1" x14ac:dyDescent="0.2">
      <c r="A496" s="131"/>
      <c r="B496" s="132"/>
      <c r="C496" s="126"/>
      <c r="D496" s="127"/>
      <c r="E496" s="126"/>
      <c r="F496" s="126"/>
      <c r="H496" s="136"/>
      <c r="I496" s="137"/>
      <c r="J496" s="136"/>
      <c r="K496" s="137"/>
      <c r="L496" s="136"/>
    </row>
    <row r="497" spans="1:15" s="135" customFormat="1" x14ac:dyDescent="0.2">
      <c r="A497" s="131"/>
      <c r="B497" s="132"/>
      <c r="C497" s="142"/>
      <c r="D497" s="127"/>
      <c r="E497" s="134"/>
      <c r="F497" s="134"/>
      <c r="H497" s="136"/>
      <c r="I497" s="137"/>
      <c r="J497" s="136"/>
      <c r="K497" s="137"/>
      <c r="L497" s="136"/>
    </row>
    <row r="498" spans="1:15" s="135" customFormat="1" x14ac:dyDescent="0.2">
      <c r="A498" s="131"/>
      <c r="B498" s="132"/>
      <c r="C498" s="142"/>
      <c r="D498" s="143"/>
      <c r="E498" s="134"/>
      <c r="F498" s="134"/>
      <c r="H498" s="136"/>
      <c r="I498" s="137"/>
      <c r="J498" s="136"/>
      <c r="K498" s="137"/>
      <c r="L498" s="136"/>
    </row>
    <row r="499" spans="1:15" s="129" customFormat="1" x14ac:dyDescent="0.2">
      <c r="A499" s="124"/>
      <c r="B499" s="125"/>
      <c r="C499" s="126"/>
      <c r="D499" s="127"/>
      <c r="E499" s="126"/>
      <c r="F499" s="126"/>
      <c r="H499" s="15"/>
      <c r="I499" s="104"/>
      <c r="J499" s="136"/>
      <c r="K499" s="104"/>
      <c r="L499" s="15"/>
    </row>
    <row r="500" spans="1:15" s="129" customFormat="1" x14ac:dyDescent="0.2">
      <c r="A500" s="131"/>
      <c r="B500" s="132"/>
      <c r="C500" s="130"/>
      <c r="D500" s="127"/>
      <c r="E500" s="126"/>
      <c r="F500" s="126"/>
      <c r="H500" s="136"/>
      <c r="I500" s="104"/>
      <c r="J500" s="136"/>
      <c r="K500" s="104"/>
      <c r="L500" s="136"/>
      <c r="M500" s="144"/>
    </row>
    <row r="501" spans="1:15" s="129" customFormat="1" x14ac:dyDescent="0.2">
      <c r="A501" s="131"/>
      <c r="B501" s="132"/>
      <c r="C501" s="154"/>
      <c r="D501" s="128"/>
      <c r="E501" s="126"/>
      <c r="F501" s="126"/>
      <c r="H501" s="15"/>
      <c r="I501" s="104"/>
      <c r="J501" s="15"/>
      <c r="K501" s="104"/>
      <c r="L501" s="15"/>
      <c r="M501" s="144"/>
    </row>
    <row r="502" spans="1:15" s="129" customFormat="1" x14ac:dyDescent="0.2">
      <c r="A502" s="131"/>
      <c r="B502" s="132"/>
      <c r="C502" s="154"/>
      <c r="D502" s="128"/>
      <c r="E502" s="128"/>
      <c r="F502" s="128"/>
      <c r="H502" s="15"/>
      <c r="I502" s="104"/>
      <c r="J502" s="15"/>
      <c r="K502" s="104"/>
      <c r="L502" s="136"/>
    </row>
    <row r="503" spans="1:15" s="129" customFormat="1" x14ac:dyDescent="0.2">
      <c r="A503" s="131"/>
      <c r="B503" s="132"/>
      <c r="C503" s="126"/>
      <c r="D503" s="127"/>
      <c r="E503" s="126"/>
      <c r="F503" s="126"/>
      <c r="H503" s="136"/>
      <c r="I503" s="104"/>
      <c r="J503" s="136"/>
      <c r="K503" s="104"/>
      <c r="L503" s="136"/>
    </row>
    <row r="504" spans="1:15" s="129" customFormat="1" x14ac:dyDescent="0.2">
      <c r="A504" s="131"/>
      <c r="B504" s="145"/>
      <c r="C504" s="126"/>
      <c r="D504" s="127"/>
      <c r="E504" s="126"/>
      <c r="F504" s="126"/>
      <c r="H504" s="136"/>
      <c r="I504" s="104"/>
      <c r="J504" s="136"/>
      <c r="K504" s="104"/>
      <c r="L504" s="136"/>
      <c r="N504" s="141"/>
    </row>
    <row r="505" spans="1:15" s="135" customFormat="1" x14ac:dyDescent="0.2">
      <c r="A505" s="131"/>
      <c r="B505" s="132"/>
      <c r="C505" s="153"/>
      <c r="D505" s="134"/>
      <c r="E505" s="134"/>
      <c r="F505" s="134"/>
      <c r="H505" s="136"/>
      <c r="I505" s="137"/>
      <c r="J505" s="136"/>
      <c r="K505" s="137"/>
      <c r="L505" s="136"/>
      <c r="O505" s="146"/>
    </row>
    <row r="506" spans="1:15" s="129" customFormat="1" x14ac:dyDescent="0.2">
      <c r="B506" s="133"/>
      <c r="C506" s="154"/>
      <c r="D506" s="128"/>
      <c r="E506" s="128"/>
      <c r="F506" s="128"/>
      <c r="H506" s="15"/>
      <c r="I506" s="104"/>
      <c r="J506" s="15"/>
      <c r="K506" s="104"/>
      <c r="L506" s="15"/>
    </row>
    <row r="507" spans="1:15" s="129" customFormat="1" x14ac:dyDescent="0.2">
      <c r="A507" s="124"/>
      <c r="B507" s="132"/>
      <c r="C507" s="130"/>
      <c r="D507" s="127"/>
      <c r="E507" s="126"/>
      <c r="F507" s="126"/>
      <c r="H507" s="136"/>
      <c r="I507" s="104"/>
      <c r="J507" s="136"/>
      <c r="K507" s="104"/>
      <c r="L507" s="15"/>
    </row>
    <row r="508" spans="1:15" s="129" customFormat="1" x14ac:dyDescent="0.2">
      <c r="A508" s="147"/>
      <c r="B508" s="132"/>
      <c r="C508" s="154"/>
      <c r="D508" s="128"/>
      <c r="E508" s="128"/>
      <c r="F508" s="128"/>
      <c r="H508" s="15"/>
      <c r="I508" s="104"/>
      <c r="J508" s="15"/>
      <c r="K508" s="104"/>
      <c r="L508" s="15"/>
    </row>
    <row r="509" spans="1:15" s="135" customFormat="1" x14ac:dyDescent="0.2">
      <c r="A509" s="148"/>
      <c r="B509" s="132"/>
      <c r="C509" s="153"/>
      <c r="D509" s="134"/>
      <c r="E509" s="134"/>
      <c r="F509" s="134"/>
      <c r="G509" s="136"/>
      <c r="H509" s="136"/>
      <c r="I509" s="136"/>
      <c r="J509" s="136"/>
      <c r="K509" s="136"/>
      <c r="L509" s="136"/>
      <c r="N509" s="146"/>
    </row>
    <row r="510" spans="1:15" x14ac:dyDescent="0.2">
      <c r="L510" s="15"/>
    </row>
    <row r="511" spans="1:15" x14ac:dyDescent="0.2">
      <c r="L511" s="15"/>
    </row>
    <row r="512" spans="1:15" x14ac:dyDescent="0.2">
      <c r="L512" s="15"/>
    </row>
    <row r="513" spans="12:12" x14ac:dyDescent="0.2">
      <c r="L513" s="15"/>
    </row>
    <row r="514" spans="12:12" x14ac:dyDescent="0.2">
      <c r="L514" s="15"/>
    </row>
    <row r="515" spans="12:12" x14ac:dyDescent="0.2">
      <c r="L515" s="15"/>
    </row>
  </sheetData>
  <autoFilter ref="A15:O509">
    <sortState ref="A21:O206">
      <sortCondition sortBy="cellColor" ref="J15:J500" dxfId="0"/>
    </sortState>
  </autoFilter>
  <mergeCells count="16">
    <mergeCell ref="K1:M2"/>
    <mergeCell ref="A3:M3"/>
    <mergeCell ref="A4:M4"/>
    <mergeCell ref="A5:M5"/>
    <mergeCell ref="A10:M10"/>
    <mergeCell ref="G14:H14"/>
    <mergeCell ref="I14:J14"/>
    <mergeCell ref="A13:A15"/>
    <mergeCell ref="B13:B15"/>
    <mergeCell ref="C14:C15"/>
    <mergeCell ref="D14:D15"/>
    <mergeCell ref="E14:E15"/>
    <mergeCell ref="C13:E13"/>
    <mergeCell ref="G13:L13"/>
    <mergeCell ref="M13:M15"/>
    <mergeCell ref="K14:L14"/>
  </mergeCells>
  <phoneticPr fontId="0" type="noConversion"/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800845</dc:creator>
  <dc:description>POI HSSF rep:2.33.0.126</dc:description>
  <cp:lastModifiedBy>Zam</cp:lastModifiedBy>
  <cp:lastPrinted>2017-11-28T14:13:31Z</cp:lastPrinted>
  <dcterms:created xsi:type="dcterms:W3CDTF">2014-10-09T07:02:09Z</dcterms:created>
  <dcterms:modified xsi:type="dcterms:W3CDTF">2018-07-17T12:08:56Z</dcterms:modified>
</cp:coreProperties>
</file>